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omments3.xml" ContentType="application/vnd.openxmlformats-officedocument.spreadsheetml.comments+xml"/>
  <Override PartName="/xl/drawings/drawing3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errace\College\4rth Semesteer 2025\Entrep-Business Plan Website\Financial Projections\"/>
    </mc:Choice>
  </mc:AlternateContent>
  <xr:revisionPtr revIDLastSave="0" documentId="13_ncr:1_{00DC4E17-5B0E-4766-ABE6-221B779C43CC}" xr6:coauthVersionLast="47" xr6:coauthVersionMax="47" xr10:uidLastSave="{00000000-0000-0000-0000-000000000000}"/>
  <bookViews>
    <workbookView xWindow="-120" yWindow="-120" windowWidth="20730" windowHeight="11400" tabRatio="917" xr2:uid="{B44B3249-ADCF-CB44-8C1E-181EBA6D7EDD}"/>
  </bookViews>
  <sheets>
    <sheet name="Start Up Costs " sheetId="10" r:id="rId1"/>
    <sheet name="Income Statement Year 1 " sheetId="1" r:id="rId2"/>
    <sheet name="Income Statement Year 2" sheetId="11" r:id="rId3"/>
    <sheet name="Income Statement Year 3" sheetId="12" r:id="rId4"/>
    <sheet name="Cash Flow Year 1 " sheetId="4" r:id="rId5"/>
    <sheet name="Cash Flow Year 2" sheetId="13" r:id="rId6"/>
    <sheet name="Cash Flow Year 3" sheetId="14" r:id="rId7"/>
    <sheet name="Balance Sheet Year 1 " sheetId="7" r:id="rId8"/>
    <sheet name="Balance Sheet Year 2" sheetId="15" r:id="rId9"/>
    <sheet name="Balance Sheet Year 3" sheetId="16" r:id="rId1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7" i="12" l="1"/>
  <c r="B12" i="12"/>
  <c r="B8" i="12"/>
  <c r="D17" i="12"/>
  <c r="D12" i="12"/>
  <c r="D7" i="12"/>
  <c r="D6" i="12"/>
  <c r="G17" i="12"/>
  <c r="G12" i="12"/>
  <c r="G9" i="12"/>
  <c r="G8" i="12"/>
  <c r="G7" i="12"/>
  <c r="G6" i="12"/>
  <c r="L17" i="12"/>
  <c r="L12" i="12"/>
  <c r="L7" i="12"/>
  <c r="L6" i="12"/>
  <c r="M17" i="12"/>
  <c r="M12" i="12"/>
  <c r="M9" i="12"/>
  <c r="M8" i="12"/>
  <c r="M7" i="12"/>
  <c r="M6" i="12"/>
  <c r="I17" i="12"/>
  <c r="I12" i="12"/>
  <c r="I7" i="12"/>
  <c r="I6" i="12"/>
  <c r="B7" i="12"/>
  <c r="B6" i="12"/>
  <c r="J17" i="12"/>
  <c r="J12" i="12"/>
  <c r="J6" i="12"/>
  <c r="J7" i="12"/>
  <c r="M17" i="1"/>
  <c r="M12" i="1"/>
  <c r="L17" i="1"/>
  <c r="L12" i="1"/>
  <c r="L8" i="1"/>
  <c r="K17" i="1"/>
  <c r="K12" i="1"/>
  <c r="K8" i="1"/>
  <c r="J8" i="1"/>
  <c r="M8" i="1"/>
  <c r="I17" i="1"/>
  <c r="I12" i="1"/>
  <c r="I8" i="1"/>
  <c r="B19" i="11"/>
  <c r="H17" i="1"/>
  <c r="C17" i="1"/>
  <c r="D17" i="1"/>
  <c r="E17" i="1"/>
  <c r="F17" i="1"/>
  <c r="B17" i="1"/>
  <c r="G17" i="1"/>
  <c r="H17" i="12"/>
  <c r="H12" i="12"/>
  <c r="H7" i="12"/>
  <c r="H6" i="12"/>
  <c r="B9" i="12"/>
  <c r="L19" i="11"/>
  <c r="M19" i="11"/>
  <c r="K19" i="11"/>
  <c r="J19" i="11"/>
  <c r="I19" i="11"/>
  <c r="H19" i="11"/>
  <c r="G19" i="11"/>
  <c r="E19" i="11"/>
  <c r="F19" i="11"/>
  <c r="D19" i="11"/>
  <c r="C19" i="11"/>
  <c r="C19" i="1"/>
  <c r="D19" i="1"/>
  <c r="E19" i="1"/>
  <c r="F19" i="1"/>
  <c r="G19" i="1"/>
  <c r="H19" i="1"/>
  <c r="I19" i="1"/>
  <c r="J19" i="1"/>
  <c r="K19" i="1"/>
  <c r="L19" i="1"/>
  <c r="M19" i="1"/>
  <c r="B19" i="1"/>
  <c r="F17" i="13"/>
  <c r="M19" i="12"/>
  <c r="L19" i="12"/>
  <c r="K19" i="12"/>
  <c r="J19" i="12"/>
  <c r="J18" i="14" s="1"/>
  <c r="I19" i="12"/>
  <c r="H19" i="12"/>
  <c r="G19" i="12"/>
  <c r="F19" i="12"/>
  <c r="E19" i="12"/>
  <c r="D19" i="12"/>
  <c r="C19" i="12"/>
  <c r="B19" i="12"/>
  <c r="M12" i="11"/>
  <c r="M17" i="11"/>
  <c r="N22" i="11"/>
  <c r="B8" i="11"/>
  <c r="B12" i="11"/>
  <c r="B17" i="11"/>
  <c r="C17" i="11"/>
  <c r="C8" i="11"/>
  <c r="C12" i="11"/>
  <c r="M7" i="11"/>
  <c r="M6" i="11"/>
  <c r="K17" i="11"/>
  <c r="K12" i="11"/>
  <c r="K6" i="11"/>
  <c r="G17" i="11"/>
  <c r="J17" i="11"/>
  <c r="J12" i="11"/>
  <c r="J6" i="11"/>
  <c r="G12" i="11"/>
  <c r="G8" i="11"/>
  <c r="G7" i="11"/>
  <c r="G6" i="11"/>
  <c r="B7" i="11"/>
  <c r="B6" i="11"/>
  <c r="C19" i="14"/>
  <c r="D19" i="14"/>
  <c r="E19" i="14"/>
  <c r="F19" i="14"/>
  <c r="G19" i="14"/>
  <c r="H19" i="14"/>
  <c r="I19" i="14"/>
  <c r="J19" i="14"/>
  <c r="K19" i="14"/>
  <c r="L19" i="14"/>
  <c r="M19" i="14"/>
  <c r="D18" i="14"/>
  <c r="E18" i="14"/>
  <c r="F18" i="14"/>
  <c r="G18" i="14"/>
  <c r="H18" i="14"/>
  <c r="D17" i="13"/>
  <c r="C18" i="13"/>
  <c r="D18" i="13"/>
  <c r="E18" i="13"/>
  <c r="F18" i="13"/>
  <c r="G18" i="13"/>
  <c r="H18" i="13"/>
  <c r="I18" i="13"/>
  <c r="J18" i="13"/>
  <c r="K18" i="13"/>
  <c r="L18" i="13"/>
  <c r="M18" i="13"/>
  <c r="B18" i="13"/>
  <c r="M18" i="12"/>
  <c r="M17" i="14" s="1"/>
  <c r="L18" i="12"/>
  <c r="L17" i="14" s="1"/>
  <c r="K18" i="12"/>
  <c r="K17" i="14" s="1"/>
  <c r="J18" i="12"/>
  <c r="J17" i="14" s="1"/>
  <c r="I18" i="12"/>
  <c r="I17" i="14" s="1"/>
  <c r="H18" i="12"/>
  <c r="H17" i="14" s="1"/>
  <c r="G18" i="12"/>
  <c r="G17" i="14" s="1"/>
  <c r="F18" i="12"/>
  <c r="F17" i="14" s="1"/>
  <c r="E18" i="12"/>
  <c r="E17" i="14" s="1"/>
  <c r="D18" i="12"/>
  <c r="D17" i="14" s="1"/>
  <c r="C18" i="12"/>
  <c r="C17" i="14" s="1"/>
  <c r="B18" i="12"/>
  <c r="M18" i="11"/>
  <c r="M16" i="13" s="1"/>
  <c r="L18" i="11"/>
  <c r="L16" i="13" s="1"/>
  <c r="K18" i="11"/>
  <c r="K16" i="13" s="1"/>
  <c r="J18" i="11"/>
  <c r="J16" i="13" s="1"/>
  <c r="I18" i="11"/>
  <c r="I16" i="13" s="1"/>
  <c r="H18" i="11"/>
  <c r="H16" i="13" s="1"/>
  <c r="G18" i="11"/>
  <c r="G16" i="13" s="1"/>
  <c r="F18" i="11"/>
  <c r="F16" i="13" s="1"/>
  <c r="E18" i="11"/>
  <c r="E16" i="13" s="1"/>
  <c r="D18" i="11"/>
  <c r="D16" i="13" s="1"/>
  <c r="C18" i="11"/>
  <c r="C16" i="13" s="1"/>
  <c r="B18" i="11"/>
  <c r="G12" i="1"/>
  <c r="G7" i="1"/>
  <c r="G6" i="1"/>
  <c r="J17" i="1"/>
  <c r="J12" i="1"/>
  <c r="J6" i="1"/>
  <c r="B12" i="1"/>
  <c r="B12" i="10"/>
  <c r="C15" i="7"/>
  <c r="B14" i="15" s="1"/>
  <c r="C15" i="15" s="1"/>
  <c r="B15" i="16" s="1"/>
  <c r="C13" i="7"/>
  <c r="B12" i="15" s="1"/>
  <c r="C13" i="15" s="1"/>
  <c r="E17" i="13"/>
  <c r="G17" i="13"/>
  <c r="H17" i="13"/>
  <c r="C18" i="1"/>
  <c r="C16" i="4" s="1"/>
  <c r="D18" i="1"/>
  <c r="D16" i="4" s="1"/>
  <c r="E18" i="1"/>
  <c r="E16" i="4" s="1"/>
  <c r="F18" i="1"/>
  <c r="F16" i="4" s="1"/>
  <c r="G18" i="1"/>
  <c r="G16" i="4" s="1"/>
  <c r="H18" i="1"/>
  <c r="H16" i="4" s="1"/>
  <c r="I18" i="1"/>
  <c r="I16" i="4" s="1"/>
  <c r="J18" i="1"/>
  <c r="J16" i="4" s="1"/>
  <c r="K18" i="1"/>
  <c r="K16" i="4" s="1"/>
  <c r="L18" i="1"/>
  <c r="L16" i="4" s="1"/>
  <c r="M18" i="1"/>
  <c r="M16" i="4" s="1"/>
  <c r="B18" i="1"/>
  <c r="B16" i="4" s="1"/>
  <c r="N18" i="11" l="1"/>
  <c r="B13" i="16"/>
  <c r="C14" i="16" s="1"/>
  <c r="C16" i="15"/>
  <c r="C16" i="16"/>
  <c r="C16" i="7"/>
  <c r="N18" i="12"/>
  <c r="B17" i="14"/>
  <c r="B16" i="13"/>
  <c r="F10" i="16"/>
  <c r="F9" i="15"/>
  <c r="B17" i="16" l="1"/>
  <c r="C17" i="16"/>
  <c r="F12" i="16"/>
  <c r="F11" i="15"/>
  <c r="F9" i="7"/>
  <c r="B19" i="14"/>
  <c r="C18" i="4"/>
  <c r="D18" i="4"/>
  <c r="E18" i="4"/>
  <c r="F18" i="4"/>
  <c r="G18" i="4"/>
  <c r="H18" i="4"/>
  <c r="I18" i="4"/>
  <c r="J18" i="4"/>
  <c r="K18" i="4"/>
  <c r="L18" i="4"/>
  <c r="M18" i="4"/>
  <c r="B18" i="4"/>
  <c r="C15" i="4"/>
  <c r="D15" i="4"/>
  <c r="E15" i="4"/>
  <c r="F15" i="4"/>
  <c r="G15" i="4"/>
  <c r="H15" i="4"/>
  <c r="B15" i="4"/>
  <c r="C18" i="14"/>
  <c r="I18" i="14"/>
  <c r="K18" i="14"/>
  <c r="L18" i="14"/>
  <c r="M18" i="14"/>
  <c r="B18" i="14"/>
  <c r="M16" i="14"/>
  <c r="L16" i="14"/>
  <c r="K17" i="12"/>
  <c r="K16" i="14" s="1"/>
  <c r="J16" i="14"/>
  <c r="I16" i="14"/>
  <c r="E17" i="12"/>
  <c r="E16" i="14" s="1"/>
  <c r="F17" i="12"/>
  <c r="F16" i="14" s="1"/>
  <c r="H16" i="14"/>
  <c r="D16" i="14"/>
  <c r="N8" i="1"/>
  <c r="N9" i="1"/>
  <c r="N11" i="1"/>
  <c r="N20" i="1"/>
  <c r="N22" i="1"/>
  <c r="N11" i="11"/>
  <c r="N13" i="11"/>
  <c r="N15" i="11"/>
  <c r="N16" i="11"/>
  <c r="N20" i="11"/>
  <c r="N11" i="12"/>
  <c r="N13" i="12"/>
  <c r="N20" i="12"/>
  <c r="N22" i="12"/>
  <c r="K12" i="12"/>
  <c r="L9" i="12"/>
  <c r="L8" i="12"/>
  <c r="K9" i="12"/>
  <c r="K8" i="12"/>
  <c r="K7" i="12"/>
  <c r="K6" i="12"/>
  <c r="E12" i="12"/>
  <c r="F12" i="12"/>
  <c r="I9" i="12"/>
  <c r="I8" i="12"/>
  <c r="J9" i="12"/>
  <c r="J8" i="12"/>
  <c r="E9" i="12"/>
  <c r="F9" i="12"/>
  <c r="H9" i="12"/>
  <c r="E8" i="12"/>
  <c r="F8" i="12"/>
  <c r="H8" i="12"/>
  <c r="E7" i="12"/>
  <c r="F7" i="12"/>
  <c r="E6" i="12"/>
  <c r="F6" i="12"/>
  <c r="H10" i="12"/>
  <c r="D9" i="12"/>
  <c r="D8" i="12"/>
  <c r="C17" i="12"/>
  <c r="C16" i="14" s="1"/>
  <c r="C12" i="12"/>
  <c r="C9" i="12"/>
  <c r="C8" i="12"/>
  <c r="C7" i="12"/>
  <c r="C6" i="12"/>
  <c r="B16" i="14"/>
  <c r="C17" i="13"/>
  <c r="I17" i="13"/>
  <c r="J17" i="13"/>
  <c r="K17" i="13"/>
  <c r="L17" i="13"/>
  <c r="M17" i="13"/>
  <c r="B17" i="13"/>
  <c r="C17" i="4"/>
  <c r="D17" i="4"/>
  <c r="E17" i="4"/>
  <c r="F17" i="4"/>
  <c r="G17" i="4"/>
  <c r="H17" i="4"/>
  <c r="I17" i="4"/>
  <c r="J17" i="4"/>
  <c r="K17" i="4"/>
  <c r="L17" i="4"/>
  <c r="M17" i="4"/>
  <c r="B17" i="4"/>
  <c r="E17" i="11"/>
  <c r="E15" i="13" s="1"/>
  <c r="F17" i="11"/>
  <c r="F15" i="13" s="1"/>
  <c r="H17" i="11"/>
  <c r="H15" i="13" s="1"/>
  <c r="D17" i="11"/>
  <c r="D15" i="13" s="1"/>
  <c r="C15" i="13"/>
  <c r="B15" i="13"/>
  <c r="M15" i="4"/>
  <c r="L15" i="4"/>
  <c r="K15" i="4"/>
  <c r="J15" i="4"/>
  <c r="I15" i="4"/>
  <c r="E12" i="11"/>
  <c r="F12" i="11"/>
  <c r="H12" i="11"/>
  <c r="D12" i="11"/>
  <c r="D8" i="11"/>
  <c r="E8" i="11"/>
  <c r="F8" i="11"/>
  <c r="H8" i="11"/>
  <c r="M15" i="13"/>
  <c r="L17" i="11"/>
  <c r="L15" i="13" s="1"/>
  <c r="K15" i="13"/>
  <c r="J15" i="13"/>
  <c r="I17" i="11"/>
  <c r="L12" i="11"/>
  <c r="I12" i="11"/>
  <c r="M9" i="11"/>
  <c r="L9" i="11"/>
  <c r="K9" i="11"/>
  <c r="J9" i="11"/>
  <c r="I9" i="11"/>
  <c r="M8" i="11"/>
  <c r="L8" i="11"/>
  <c r="K8" i="11"/>
  <c r="J8" i="11"/>
  <c r="I8" i="11"/>
  <c r="L7" i="11"/>
  <c r="K7" i="11"/>
  <c r="J7" i="11"/>
  <c r="I7" i="11"/>
  <c r="H7" i="11"/>
  <c r="F7" i="11"/>
  <c r="E7" i="11"/>
  <c r="D7" i="11"/>
  <c r="C7" i="11"/>
  <c r="L6" i="11"/>
  <c r="I6" i="11"/>
  <c r="H6" i="11"/>
  <c r="F6" i="11"/>
  <c r="E6" i="11"/>
  <c r="D6" i="11"/>
  <c r="C6" i="11"/>
  <c r="F12" i="1"/>
  <c r="H12" i="1"/>
  <c r="F7" i="1"/>
  <c r="H7" i="1"/>
  <c r="F6" i="1"/>
  <c r="H6" i="1"/>
  <c r="C12" i="1"/>
  <c r="D12" i="1"/>
  <c r="E12" i="1"/>
  <c r="L7" i="1"/>
  <c r="M7" i="1"/>
  <c r="L6" i="1"/>
  <c r="M6" i="1"/>
  <c r="I7" i="1"/>
  <c r="J7" i="1"/>
  <c r="I6" i="1"/>
  <c r="B6" i="1"/>
  <c r="K7" i="1"/>
  <c r="K6" i="1"/>
  <c r="E7" i="1"/>
  <c r="E6" i="1"/>
  <c r="D7" i="1"/>
  <c r="D6" i="1"/>
  <c r="B7" i="1"/>
  <c r="C7" i="1"/>
  <c r="C10" i="12" l="1"/>
  <c r="C8" i="14" s="1"/>
  <c r="C10" i="14" s="1"/>
  <c r="C24" i="14" s="1"/>
  <c r="N9" i="12"/>
  <c r="K20" i="14"/>
  <c r="I21" i="11"/>
  <c r="I10" i="11"/>
  <c r="I14" i="11" s="1"/>
  <c r="F10" i="11"/>
  <c r="F14" i="11" s="1"/>
  <c r="N8" i="12"/>
  <c r="N7" i="12"/>
  <c r="N12" i="12"/>
  <c r="C10" i="11"/>
  <c r="N9" i="11"/>
  <c r="K19" i="13"/>
  <c r="K22" i="13" s="1"/>
  <c r="K25" i="13" s="1"/>
  <c r="J19" i="4"/>
  <c r="E19" i="13"/>
  <c r="I15" i="13"/>
  <c r="I19" i="13" s="1"/>
  <c r="I22" i="13" s="1"/>
  <c r="I25" i="13" s="1"/>
  <c r="B20" i="14"/>
  <c r="B22" i="14" s="1"/>
  <c r="J20" i="14"/>
  <c r="F20" i="14"/>
  <c r="M19" i="13"/>
  <c r="F19" i="13"/>
  <c r="E19" i="4"/>
  <c r="D19" i="4"/>
  <c r="H19" i="4"/>
  <c r="N7" i="11"/>
  <c r="L10" i="11"/>
  <c r="N19" i="11"/>
  <c r="C8" i="15" s="1"/>
  <c r="C19" i="4"/>
  <c r="E20" i="14"/>
  <c r="M10" i="11"/>
  <c r="L19" i="4"/>
  <c r="H14" i="12"/>
  <c r="H8" i="14"/>
  <c r="H10" i="14" s="1"/>
  <c r="H24" i="14" s="1"/>
  <c r="I20" i="14"/>
  <c r="N12" i="11"/>
  <c r="D21" i="11"/>
  <c r="D19" i="13"/>
  <c r="N17" i="11"/>
  <c r="M20" i="14"/>
  <c r="N12" i="1"/>
  <c r="G19" i="4"/>
  <c r="N7" i="1"/>
  <c r="G16" i="14"/>
  <c r="G20" i="14" s="1"/>
  <c r="G21" i="12"/>
  <c r="K19" i="4"/>
  <c r="L19" i="13"/>
  <c r="H19" i="13"/>
  <c r="B19" i="13"/>
  <c r="J10" i="11"/>
  <c r="I19" i="4"/>
  <c r="J21" i="11"/>
  <c r="J19" i="13"/>
  <c r="G21" i="11"/>
  <c r="G15" i="13"/>
  <c r="G19" i="13" s="1"/>
  <c r="J10" i="12"/>
  <c r="J8" i="14" s="1"/>
  <c r="J10" i="14" s="1"/>
  <c r="J24" i="14" s="1"/>
  <c r="N18" i="1"/>
  <c r="D20" i="14"/>
  <c r="L20" i="14"/>
  <c r="B19" i="4"/>
  <c r="B21" i="4" s="1"/>
  <c r="B24" i="4" s="1"/>
  <c r="C21" i="11"/>
  <c r="N19" i="1"/>
  <c r="C8" i="7" s="1"/>
  <c r="K10" i="11"/>
  <c r="G10" i="11"/>
  <c r="M19" i="4"/>
  <c r="C19" i="13"/>
  <c r="C20" i="14"/>
  <c r="N17" i="1"/>
  <c r="I21" i="12"/>
  <c r="C21" i="12"/>
  <c r="F19" i="4"/>
  <c r="F13" i="16"/>
  <c r="F12" i="15"/>
  <c r="F14" i="15" s="1"/>
  <c r="F16" i="15" s="1"/>
  <c r="F21" i="12"/>
  <c r="L21" i="12"/>
  <c r="J21" i="12"/>
  <c r="N19" i="12"/>
  <c r="C9" i="16" s="1"/>
  <c r="B21" i="12"/>
  <c r="K21" i="12"/>
  <c r="H21" i="12"/>
  <c r="D21" i="12"/>
  <c r="M21" i="12"/>
  <c r="N17" i="12"/>
  <c r="M10" i="12"/>
  <c r="L10" i="12"/>
  <c r="K10" i="12"/>
  <c r="I10" i="12"/>
  <c r="E10" i="12"/>
  <c r="G10" i="12"/>
  <c r="F10" i="12"/>
  <c r="N6" i="12"/>
  <c r="D10" i="12"/>
  <c r="E21" i="12"/>
  <c r="B10" i="12"/>
  <c r="L21" i="11"/>
  <c r="H21" i="11"/>
  <c r="E21" i="11"/>
  <c r="M21" i="11"/>
  <c r="K21" i="11"/>
  <c r="B21" i="11"/>
  <c r="D10" i="11"/>
  <c r="H10" i="11"/>
  <c r="E10" i="11"/>
  <c r="B10" i="11"/>
  <c r="B14" i="11" s="1"/>
  <c r="N8" i="11"/>
  <c r="N6" i="11"/>
  <c r="F21" i="11"/>
  <c r="B10" i="1"/>
  <c r="B14" i="1" s="1"/>
  <c r="E21" i="1"/>
  <c r="M21" i="1"/>
  <c r="F21" i="1"/>
  <c r="G21" i="1"/>
  <c r="D21" i="1"/>
  <c r="L21" i="1"/>
  <c r="K21" i="1"/>
  <c r="J21" i="1"/>
  <c r="I21" i="1"/>
  <c r="C21" i="1"/>
  <c r="H21" i="1"/>
  <c r="H20" i="14" s="1"/>
  <c r="H23" i="12" l="1"/>
  <c r="H24" i="12" s="1"/>
  <c r="H25" i="12" s="1"/>
  <c r="H27" i="12" s="1"/>
  <c r="M22" i="14"/>
  <c r="M25" i="14" s="1"/>
  <c r="K22" i="14"/>
  <c r="K25" i="14" s="1"/>
  <c r="C22" i="14"/>
  <c r="C25" i="14" s="1"/>
  <c r="C27" i="14" s="1"/>
  <c r="C29" i="14" s="1"/>
  <c r="D5" i="14" s="1"/>
  <c r="L22" i="14"/>
  <c r="L25" i="14" s="1"/>
  <c r="I22" i="14"/>
  <c r="I25" i="14" s="1"/>
  <c r="K21" i="4"/>
  <c r="K24" i="4" s="1"/>
  <c r="E21" i="4"/>
  <c r="E24" i="4" s="1"/>
  <c r="M21" i="4"/>
  <c r="M24" i="4" s="1"/>
  <c r="G21" i="4"/>
  <c r="G24" i="4" s="1"/>
  <c r="J21" i="4"/>
  <c r="J24" i="4" s="1"/>
  <c r="C21" i="4"/>
  <c r="C24" i="4" s="1"/>
  <c r="F21" i="4"/>
  <c r="F24" i="4" s="1"/>
  <c r="I21" i="4"/>
  <c r="I24" i="4" s="1"/>
  <c r="L21" i="4"/>
  <c r="L24" i="4" s="1"/>
  <c r="D21" i="4"/>
  <c r="D24" i="4" s="1"/>
  <c r="H21" i="4"/>
  <c r="H24" i="4" s="1"/>
  <c r="J22" i="14"/>
  <c r="J25" i="14" s="1"/>
  <c r="J27" i="14" s="1"/>
  <c r="J29" i="14" s="1"/>
  <c r="K5" i="14" s="1"/>
  <c r="H22" i="14"/>
  <c r="H25" i="14" s="1"/>
  <c r="H27" i="14" s="1"/>
  <c r="H29" i="14" s="1"/>
  <c r="I5" i="14" s="1"/>
  <c r="G22" i="14"/>
  <c r="G25" i="14" s="1"/>
  <c r="F22" i="14"/>
  <c r="F25" i="14" s="1"/>
  <c r="E22" i="14"/>
  <c r="E25" i="14" s="1"/>
  <c r="D22" i="14"/>
  <c r="D25" i="14" s="1"/>
  <c r="H22" i="13"/>
  <c r="H25" i="13" s="1"/>
  <c r="D22" i="13"/>
  <c r="D25" i="13" s="1"/>
  <c r="E22" i="13"/>
  <c r="E25" i="13" s="1"/>
  <c r="G22" i="13"/>
  <c r="G25" i="13" s="1"/>
  <c r="L22" i="13"/>
  <c r="L25" i="13" s="1"/>
  <c r="F22" i="13"/>
  <c r="F25" i="13" s="1"/>
  <c r="C22" i="13"/>
  <c r="C25" i="13" s="1"/>
  <c r="M22" i="13"/>
  <c r="M25" i="13" s="1"/>
  <c r="J22" i="13"/>
  <c r="J25" i="13" s="1"/>
  <c r="B22" i="13"/>
  <c r="B25" i="13" s="1"/>
  <c r="I23" i="11"/>
  <c r="I24" i="11" s="1"/>
  <c r="I25" i="11" s="1"/>
  <c r="C14" i="12"/>
  <c r="C23" i="12" s="1"/>
  <c r="C24" i="12" s="1"/>
  <c r="C25" i="12" s="1"/>
  <c r="C27" i="12" s="1"/>
  <c r="J14" i="12"/>
  <c r="J23" i="12" s="1"/>
  <c r="C14" i="11"/>
  <c r="C23" i="11" s="1"/>
  <c r="F23" i="11"/>
  <c r="B25" i="14"/>
  <c r="F14" i="12"/>
  <c r="F23" i="12" s="1"/>
  <c r="F8" i="14"/>
  <c r="F10" i="14" s="1"/>
  <c r="F24" i="14" s="1"/>
  <c r="D14" i="11"/>
  <c r="D23" i="11" s="1"/>
  <c r="D14" i="12"/>
  <c r="D23" i="12" s="1"/>
  <c r="D8" i="14"/>
  <c r="D10" i="14" s="1"/>
  <c r="D24" i="14" s="1"/>
  <c r="G14" i="12"/>
  <c r="G23" i="12" s="1"/>
  <c r="G8" i="14"/>
  <c r="G10" i="14" s="1"/>
  <c r="G24" i="14" s="1"/>
  <c r="K14" i="12"/>
  <c r="K23" i="12" s="1"/>
  <c r="K8" i="14"/>
  <c r="K10" i="14" s="1"/>
  <c r="K24" i="14" s="1"/>
  <c r="G14" i="11"/>
  <c r="G23" i="11" s="1"/>
  <c r="M14" i="11"/>
  <c r="M23" i="11" s="1"/>
  <c r="M8" i="13"/>
  <c r="M10" i="13" s="1"/>
  <c r="M24" i="13" s="1"/>
  <c r="L14" i="11"/>
  <c r="L23" i="11" s="1"/>
  <c r="N10" i="11"/>
  <c r="N21" i="11"/>
  <c r="E14" i="12"/>
  <c r="E23" i="12" s="1"/>
  <c r="E8" i="14"/>
  <c r="E10" i="14" s="1"/>
  <c r="E24" i="14" s="1"/>
  <c r="L14" i="12"/>
  <c r="L23" i="12" s="1"/>
  <c r="L8" i="14"/>
  <c r="L10" i="14" s="1"/>
  <c r="L24" i="14" s="1"/>
  <c r="K14" i="11"/>
  <c r="K23" i="11" s="1"/>
  <c r="J14" i="11"/>
  <c r="J23" i="11" s="1"/>
  <c r="H14" i="11"/>
  <c r="H23" i="11" s="1"/>
  <c r="E14" i="11"/>
  <c r="E23" i="11" s="1"/>
  <c r="N10" i="12"/>
  <c r="B8" i="14"/>
  <c r="B10" i="14" s="1"/>
  <c r="B24" i="14" s="1"/>
  <c r="I14" i="12"/>
  <c r="I23" i="12" s="1"/>
  <c r="I8" i="14"/>
  <c r="I10" i="14" s="1"/>
  <c r="I24" i="14" s="1"/>
  <c r="M14" i="12"/>
  <c r="M23" i="12" s="1"/>
  <c r="M8" i="14"/>
  <c r="M10" i="14" s="1"/>
  <c r="M24" i="14" s="1"/>
  <c r="F15" i="16"/>
  <c r="F17" i="16" s="1"/>
  <c r="N21" i="12"/>
  <c r="B14" i="12"/>
  <c r="B23" i="12" s="1"/>
  <c r="B23" i="11"/>
  <c r="B24" i="11" s="1"/>
  <c r="C6" i="1"/>
  <c r="C10" i="1" s="1"/>
  <c r="D10" i="1"/>
  <c r="E10" i="1"/>
  <c r="F10" i="1"/>
  <c r="G10" i="1"/>
  <c r="H10" i="1"/>
  <c r="I10" i="1"/>
  <c r="J10" i="1"/>
  <c r="K10" i="1"/>
  <c r="L10" i="1"/>
  <c r="M10" i="1"/>
  <c r="B20" i="10"/>
  <c r="B23" i="10" s="1"/>
  <c r="M27" i="14" l="1"/>
  <c r="M29" i="14" s="1"/>
  <c r="C7" i="16" s="1"/>
  <c r="C10" i="16" s="1"/>
  <c r="C19" i="16" s="1"/>
  <c r="I27" i="14"/>
  <c r="I29" i="14" s="1"/>
  <c r="J5" i="14" s="1"/>
  <c r="L27" i="14"/>
  <c r="L29" i="14" s="1"/>
  <c r="M5" i="14" s="1"/>
  <c r="K27" i="14"/>
  <c r="K29" i="14" s="1"/>
  <c r="L5" i="14" s="1"/>
  <c r="G27" i="14"/>
  <c r="G29" i="14" s="1"/>
  <c r="H5" i="14" s="1"/>
  <c r="F27" i="14"/>
  <c r="F29" i="14" s="1"/>
  <c r="G5" i="14" s="1"/>
  <c r="E27" i="14"/>
  <c r="E29" i="14" s="1"/>
  <c r="F5" i="14" s="1"/>
  <c r="D27" i="14"/>
  <c r="D29" i="14" s="1"/>
  <c r="E5" i="14" s="1"/>
  <c r="M27" i="13"/>
  <c r="M29" i="13" s="1"/>
  <c r="B5" i="14" s="1"/>
  <c r="B12" i="14" s="1"/>
  <c r="I27" i="11"/>
  <c r="I8" i="13"/>
  <c r="C24" i="11"/>
  <c r="C25" i="11" s="1"/>
  <c r="M24" i="11"/>
  <c r="M25" i="11" s="1"/>
  <c r="H24" i="11"/>
  <c r="H25" i="11" s="1"/>
  <c r="K24" i="11"/>
  <c r="K25" i="11" s="1"/>
  <c r="F24" i="11"/>
  <c r="F25" i="11" s="1"/>
  <c r="G24" i="11"/>
  <c r="G25" i="11" s="1"/>
  <c r="D24" i="11"/>
  <c r="D25" i="11" s="1"/>
  <c r="L24" i="11"/>
  <c r="L25" i="11" s="1"/>
  <c r="E24" i="11"/>
  <c r="E25" i="11" s="1"/>
  <c r="J24" i="11"/>
  <c r="J25" i="11" s="1"/>
  <c r="B27" i="14"/>
  <c r="B29" i="14" s="1"/>
  <c r="C5" i="14" s="1"/>
  <c r="N14" i="11"/>
  <c r="D24" i="12"/>
  <c r="D25" i="12" s="1"/>
  <c r="D27" i="12" s="1"/>
  <c r="M14" i="1"/>
  <c r="M8" i="4"/>
  <c r="E14" i="1"/>
  <c r="L24" i="12"/>
  <c r="L25" i="12" s="1"/>
  <c r="L27" i="12" s="1"/>
  <c r="I24" i="12"/>
  <c r="I25" i="12" s="1"/>
  <c r="I27" i="12" s="1"/>
  <c r="K24" i="12"/>
  <c r="K25" i="12" s="1"/>
  <c r="K27" i="12" s="1"/>
  <c r="L14" i="1"/>
  <c r="H14" i="1"/>
  <c r="D14" i="1"/>
  <c r="J24" i="12"/>
  <c r="J25" i="12" s="1"/>
  <c r="J27" i="12" s="1"/>
  <c r="F24" i="12"/>
  <c r="F25" i="12" s="1"/>
  <c r="F27" i="12" s="1"/>
  <c r="K14" i="1"/>
  <c r="G14" i="1"/>
  <c r="C14" i="1"/>
  <c r="E24" i="12"/>
  <c r="E25" i="12" s="1"/>
  <c r="E27" i="12" s="1"/>
  <c r="G24" i="12"/>
  <c r="G25" i="12" s="1"/>
  <c r="G27" i="12" s="1"/>
  <c r="I14" i="1"/>
  <c r="I6" i="7"/>
  <c r="I6" i="15"/>
  <c r="I7" i="16"/>
  <c r="J14" i="1"/>
  <c r="J23" i="1" s="1"/>
  <c r="F14" i="1"/>
  <c r="N23" i="11"/>
  <c r="N24" i="11" s="1"/>
  <c r="N14" i="12"/>
  <c r="M24" i="12"/>
  <c r="M25" i="12" s="1"/>
  <c r="M27" i="12" s="1"/>
  <c r="N10" i="1"/>
  <c r="B25" i="11"/>
  <c r="N6" i="1"/>
  <c r="B21" i="1"/>
  <c r="N21" i="1" s="1"/>
  <c r="M27" i="11" l="1"/>
  <c r="B8" i="13"/>
  <c r="N25" i="11"/>
  <c r="N27" i="11" s="1"/>
  <c r="C6" i="15"/>
  <c r="C9" i="15" s="1"/>
  <c r="C18" i="15" s="1"/>
  <c r="K27" i="11"/>
  <c r="K8" i="13"/>
  <c r="D27" i="11"/>
  <c r="D8" i="13"/>
  <c r="H27" i="11"/>
  <c r="H8" i="13"/>
  <c r="J27" i="11"/>
  <c r="J8" i="13"/>
  <c r="G27" i="11"/>
  <c r="G8" i="13"/>
  <c r="E27" i="11"/>
  <c r="E8" i="13"/>
  <c r="F27" i="11"/>
  <c r="F8" i="13"/>
  <c r="C27" i="11"/>
  <c r="C8" i="13"/>
  <c r="L27" i="11"/>
  <c r="L8" i="13"/>
  <c r="J24" i="1"/>
  <c r="J25" i="1" s="1"/>
  <c r="J8" i="4" s="1"/>
  <c r="B27" i="11"/>
  <c r="N23" i="12"/>
  <c r="B24" i="12"/>
  <c r="N24" i="12" s="1"/>
  <c r="N14" i="1"/>
  <c r="B23" i="1"/>
  <c r="B24" i="1" s="1"/>
  <c r="C23" i="1"/>
  <c r="L23" i="1"/>
  <c r="K23" i="1"/>
  <c r="E23" i="1"/>
  <c r="D23" i="1"/>
  <c r="M23" i="1"/>
  <c r="F23" i="1"/>
  <c r="I23" i="1"/>
  <c r="I24" i="1" s="1"/>
  <c r="H23" i="1"/>
  <c r="G23" i="1"/>
  <c r="N23" i="1" l="1"/>
  <c r="J27" i="1"/>
  <c r="M24" i="1"/>
  <c r="L24" i="1"/>
  <c r="L25" i="1" s="1"/>
  <c r="L8" i="4" s="1"/>
  <c r="E24" i="1"/>
  <c r="E25" i="1" s="1"/>
  <c r="F24" i="1"/>
  <c r="F25" i="1" s="1"/>
  <c r="K24" i="1"/>
  <c r="K25" i="1" s="1"/>
  <c r="K8" i="4" s="1"/>
  <c r="G24" i="1"/>
  <c r="G25" i="1" s="1"/>
  <c r="G8" i="4" s="1"/>
  <c r="H24" i="1"/>
  <c r="H25" i="1" s="1"/>
  <c r="H8" i="4" s="1"/>
  <c r="D24" i="1"/>
  <c r="D25" i="1" s="1"/>
  <c r="D8" i="4" s="1"/>
  <c r="C24" i="1"/>
  <c r="C25" i="1" s="1"/>
  <c r="C8" i="4" s="1"/>
  <c r="I7" i="15"/>
  <c r="I8" i="15" s="1"/>
  <c r="I9" i="15" s="1"/>
  <c r="B25" i="12"/>
  <c r="N25" i="12" s="1"/>
  <c r="N27" i="12" s="1"/>
  <c r="C12" i="14"/>
  <c r="I25" i="1"/>
  <c r="M25" i="1" l="1"/>
  <c r="M27" i="1" s="1"/>
  <c r="F27" i="1"/>
  <c r="F8" i="4"/>
  <c r="I27" i="1"/>
  <c r="I8" i="4"/>
  <c r="E27" i="1"/>
  <c r="E8" i="4"/>
  <c r="F18" i="15"/>
  <c r="I18" i="15"/>
  <c r="C27" i="1"/>
  <c r="L27" i="1"/>
  <c r="K27" i="1"/>
  <c r="H27" i="1"/>
  <c r="D27" i="1"/>
  <c r="G27" i="1"/>
  <c r="N24" i="1"/>
  <c r="N25" i="1" s="1"/>
  <c r="N27" i="1" s="1"/>
  <c r="B27" i="12"/>
  <c r="I8" i="16"/>
  <c r="I9" i="16" s="1"/>
  <c r="I10" i="16" s="1"/>
  <c r="D12" i="14"/>
  <c r="B25" i="1"/>
  <c r="F19" i="16" l="1"/>
  <c r="I19" i="16"/>
  <c r="B27" i="1"/>
  <c r="B10" i="4"/>
  <c r="E12" i="14"/>
  <c r="B23" i="4" l="1"/>
  <c r="B26" i="4" s="1"/>
  <c r="B28" i="4" s="1"/>
  <c r="C5" i="4" s="1"/>
  <c r="B12" i="4"/>
  <c r="I7" i="7"/>
  <c r="F12" i="14"/>
  <c r="C10" i="4" l="1"/>
  <c r="G12" i="14"/>
  <c r="C23" i="4" l="1"/>
  <c r="C26" i="4" s="1"/>
  <c r="C28" i="4" s="1"/>
  <c r="D5" i="4" s="1"/>
  <c r="D10" i="4" s="1"/>
  <c r="C12" i="4"/>
  <c r="H12" i="14"/>
  <c r="D23" i="4" l="1"/>
  <c r="D26" i="4" s="1"/>
  <c r="D28" i="4" s="1"/>
  <c r="E5" i="4" s="1"/>
  <c r="E10" i="4" s="1"/>
  <c r="D12" i="4"/>
  <c r="I12" i="14"/>
  <c r="E23" i="4" l="1"/>
  <c r="E26" i="4" s="1"/>
  <c r="E28" i="4" s="1"/>
  <c r="F5" i="4" s="1"/>
  <c r="F10" i="4" s="1"/>
  <c r="E12" i="4"/>
  <c r="J12" i="14"/>
  <c r="F23" i="4" l="1"/>
  <c r="F26" i="4" s="1"/>
  <c r="F28" i="4" s="1"/>
  <c r="G5" i="4" s="1"/>
  <c r="G10" i="4" s="1"/>
  <c r="G12" i="4" s="1"/>
  <c r="F12" i="4"/>
  <c r="K12" i="14"/>
  <c r="G23" i="4" l="1"/>
  <c r="M12" i="14"/>
  <c r="L12" i="14"/>
  <c r="G26" i="4" l="1"/>
  <c r="G28" i="4" s="1"/>
  <c r="H5" i="4" s="1"/>
  <c r="H10" i="4" s="1"/>
  <c r="H23" i="4" l="1"/>
  <c r="H26" i="4" s="1"/>
  <c r="H28" i="4" s="1"/>
  <c r="I5" i="4" s="1"/>
  <c r="I10" i="4" s="1"/>
  <c r="I12" i="4" s="1"/>
  <c r="H12" i="4"/>
  <c r="I23" i="4" l="1"/>
  <c r="I26" i="4" l="1"/>
  <c r="I28" i="4" s="1"/>
  <c r="J5" i="4" s="1"/>
  <c r="J10" i="4" l="1"/>
  <c r="J23" i="4" l="1"/>
  <c r="J26" i="4" s="1"/>
  <c r="J28" i="4" s="1"/>
  <c r="K5" i="4" s="1"/>
  <c r="J12" i="4"/>
  <c r="K10" i="4" l="1"/>
  <c r="K23" i="4" l="1"/>
  <c r="K26" i="4" s="1"/>
  <c r="K28" i="4" s="1"/>
  <c r="L5" i="4" s="1"/>
  <c r="K12" i="4"/>
  <c r="L10" i="4" l="1"/>
  <c r="L23" i="4" l="1"/>
  <c r="L26" i="4" s="1"/>
  <c r="L28" i="4" s="1"/>
  <c r="M5" i="4" s="1"/>
  <c r="L12" i="4"/>
  <c r="M10" i="4" l="1"/>
  <c r="M23" i="4" s="1"/>
  <c r="M26" i="4" l="1"/>
  <c r="M28" i="4" s="1"/>
  <c r="M12" i="4"/>
  <c r="C6" i="7" l="1"/>
  <c r="C9" i="7" s="1"/>
  <c r="C18" i="7" s="1"/>
  <c r="I8" i="7" s="1"/>
  <c r="I9" i="7" s="1"/>
  <c r="F18" i="7" s="1"/>
  <c r="B5" i="13"/>
  <c r="B10" i="13" s="1"/>
  <c r="I18" i="7" l="1"/>
  <c r="B12" i="13"/>
  <c r="B24" i="13"/>
  <c r="B27" i="13" s="1"/>
  <c r="B29" i="13" s="1"/>
  <c r="C5" i="13" s="1"/>
  <c r="C10" i="13" s="1"/>
  <c r="C24" i="13" l="1"/>
  <c r="C27" i="13" s="1"/>
  <c r="C29" i="13" s="1"/>
  <c r="D5" i="13" s="1"/>
  <c r="D10" i="13" s="1"/>
  <c r="C12" i="13"/>
  <c r="D24" i="13" l="1"/>
  <c r="D27" i="13" s="1"/>
  <c r="D29" i="13" s="1"/>
  <c r="E5" i="13" s="1"/>
  <c r="E10" i="13" s="1"/>
  <c r="D12" i="13"/>
  <c r="E24" i="13" l="1"/>
  <c r="E27" i="13" s="1"/>
  <c r="E29" i="13" s="1"/>
  <c r="F5" i="13" s="1"/>
  <c r="F10" i="13" s="1"/>
  <c r="E12" i="13"/>
  <c r="F24" i="13" l="1"/>
  <c r="F27" i="13" s="1"/>
  <c r="F29" i="13" s="1"/>
  <c r="G5" i="13" s="1"/>
  <c r="G10" i="13" s="1"/>
  <c r="F12" i="13"/>
  <c r="G12" i="13" l="1"/>
  <c r="G24" i="13"/>
  <c r="G27" i="13" s="1"/>
  <c r="G29" i="13" s="1"/>
  <c r="H5" i="13" s="1"/>
  <c r="H10" i="13" s="1"/>
  <c r="H24" i="13" l="1"/>
  <c r="H27" i="13" s="1"/>
  <c r="H29" i="13" s="1"/>
  <c r="I5" i="13" s="1"/>
  <c r="I10" i="13" s="1"/>
  <c r="H12" i="13"/>
  <c r="I24" i="13" l="1"/>
  <c r="I27" i="13" s="1"/>
  <c r="I29" i="13" s="1"/>
  <c r="J5" i="13" s="1"/>
  <c r="J10" i="13" s="1"/>
  <c r="I12" i="13"/>
  <c r="J24" i="13" l="1"/>
  <c r="J27" i="13" s="1"/>
  <c r="J29" i="13" s="1"/>
  <c r="K5" i="13" s="1"/>
  <c r="K10" i="13" s="1"/>
  <c r="J12" i="13"/>
  <c r="K24" i="13" l="1"/>
  <c r="K27" i="13" s="1"/>
  <c r="K29" i="13" s="1"/>
  <c r="L5" i="13" s="1"/>
  <c r="L10" i="13" s="1"/>
  <c r="K12" i="13"/>
  <c r="L24" i="13" l="1"/>
  <c r="L27" i="13" s="1"/>
  <c r="L29" i="13" s="1"/>
  <c r="M5" i="13" s="1"/>
  <c r="M12" i="13" s="1"/>
  <c r="L12" i="1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A15" authorId="0" shapeId="0" xr:uid="{E3222A45-26FD-44F1-B8B1-1E5C35FBCB57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Equipments:
1. Portable Hair Waching Sink $43
2. Collapsible Foot Spa Bath Massager Kit with Heat and Massage Rollers $60
3. Electric Foot Callus Remover (Speed Adjustable) with 60pcs Replacement Sandpaper Discs,Professional Pedicure Tool for Women Men Dead Dry Hard Skin Removal,Pedicure Heel Tool for Cracked Dry Dead Skin $50</t>
        </r>
      </text>
    </comment>
    <comment ref="A18" authorId="0" shapeId="0" xr:uid="{BAB969C1-8F89-4B63-87D9-9867F65837ED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Inventory / Supplies
1. Hair Color $35 / box
2. Gloves $13 / box
3. Face Mask $14 / box
4. Vitamin C Oil $10 / bottle 236 ml
5. Body Powder $3 / bottles 425 grams
6. Spatulla for waxing $20 / 400 pcs
7. Waxing Strips $14 / 500 pcs
8. Gel Nail Polish Set $60 / 60 pc with 5 Bottles of Base and Glossy Matte Top Coat Soak off Gel Nail Set Suitable for All Seasons
9. Normal Nail Polish Set $20 modelones, 12 Colors Summer Quick Dry Mini Starter Kit, Long Lasting Art Mani &amp; Pedi Set at Home for Women Girls
10. Foot Callus Remover Gel $20 / 60 oz
11. Foot Cream and Scrub $27 (Naturals Charcoal Scrub Foot Exfoliator Infused with Collagen and Stem Cell )
12. Small Mani, Pedi &amp; Foot Spa Towels 12 pcs $60
13. Big Towels 5 pcs $50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B3" authorId="0" shapeId="0" xr:uid="{0CDE43D5-8C54-4858-8788-2EC79E90510D}">
      <text>
        <r>
          <rPr>
            <b/>
            <sz val="9"/>
            <color indexed="81"/>
            <rFont val="Tahoma"/>
            <charset val="1"/>
          </rPr>
          <t>User:</t>
        </r>
        <r>
          <rPr>
            <sz val="9"/>
            <color indexed="81"/>
            <rFont val="Tahoma"/>
            <charset val="1"/>
          </rPr>
          <t xml:space="preserve">
10 customers</t>
        </r>
      </text>
    </comment>
    <comment ref="C3" authorId="0" shapeId="0" xr:uid="{E61E21F4-14E9-457D-835E-DEB7B40FB6B6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20 customers</t>
        </r>
      </text>
    </comment>
    <comment ref="D3" authorId="0" shapeId="0" xr:uid="{DDF64E26-9315-405F-8D2B-4DFE3409CECB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10 customers</t>
        </r>
      </text>
    </comment>
    <comment ref="E3" authorId="0" shapeId="0" xr:uid="{305E5052-0CA4-4218-BC80-0FACF9B7399F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10 customers</t>
        </r>
      </text>
    </comment>
    <comment ref="F3" authorId="0" shapeId="0" xr:uid="{DF2C1F92-957E-4102-99C7-37B5F438F345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10 customers</t>
        </r>
      </text>
    </comment>
    <comment ref="G3" authorId="0" shapeId="0" xr:uid="{8419A885-7892-424A-ADFB-9EF636306F1B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20 customers</t>
        </r>
      </text>
    </comment>
    <comment ref="H3" authorId="0" shapeId="0" xr:uid="{EB27D489-0028-4CC1-9F9A-DE7028A63CA7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10 customers</t>
        </r>
      </text>
    </comment>
    <comment ref="I3" authorId="0" shapeId="0" xr:uid="{EDB27493-F1DC-4A08-ACEB-A0E3E755FD38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25 customers</t>
        </r>
      </text>
    </comment>
    <comment ref="J3" authorId="0" shapeId="0" xr:uid="{6776209B-879C-48F4-8C5E-46524E59B939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15 customers
</t>
        </r>
      </text>
    </comment>
    <comment ref="K3" authorId="0" shapeId="0" xr:uid="{D72F2098-6CCE-4FC1-8EA7-4AE50D0A3436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26 customers</t>
        </r>
      </text>
    </comment>
    <comment ref="L3" authorId="0" shapeId="0" xr:uid="{9A85948A-773B-4632-B6BA-7C92928EFDB1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25 customers</t>
        </r>
      </text>
    </comment>
    <comment ref="M3" authorId="0" shapeId="0" xr:uid="{7125DA1B-337A-4644-92EE-A890D3F226CF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25 customers</t>
        </r>
      </text>
    </comment>
    <comment ref="G17" authorId="0" shapeId="0" xr:uid="{49C6DD1C-DC16-466E-AED4-57CC959727DB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2 hours customer</t>
        </r>
      </text>
    </comment>
    <comment ref="H17" authorId="0" shapeId="0" xr:uid="{F5FBC2B8-AD61-458F-A843-4691DF22FF47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2 hours customer</t>
        </r>
      </text>
    </comment>
    <comment ref="I17" authorId="0" shapeId="0" xr:uid="{440AC645-1E4A-4B57-937E-F3C1B1DE342A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2 hours / customer</t>
        </r>
      </text>
    </comment>
    <comment ref="J17" authorId="0" shapeId="0" xr:uid="{A2D599CE-2F10-476E-99AC-3E5FB62B9B5F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2 hours customer</t>
        </r>
      </text>
    </comment>
    <comment ref="K17" authorId="0" shapeId="0" xr:uid="{D3F5295E-866D-4A08-BBAB-A382B5A8E549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2 hours per customer</t>
        </r>
      </text>
    </comment>
    <comment ref="L17" authorId="0" shapeId="0" xr:uid="{49FF9ECD-F652-4BD9-B6E4-8B59A143E58A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2 hurs per customer</t>
        </r>
      </text>
    </comment>
    <comment ref="M17" authorId="0" shapeId="0" xr:uid="{642E9149-35FF-43DA-B239-E72F2E1C10DF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2 hours per customer</t>
        </r>
      </text>
    </comment>
    <comment ref="F32" authorId="0" shapeId="0" xr:uid="{15951A6D-97C0-45AC-95C0-88B468F52657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Inventroy per service:
gloves
face mask
hair color</t>
        </r>
      </text>
    </comment>
    <comment ref="F33" authorId="0" shapeId="0" xr:uid="{7A3BCC5A-13FA-4B5F-8036-25906B607E59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Inventory per service:
wax
gloves
face mask
strips 
spatulla</t>
        </r>
      </text>
    </comment>
    <comment ref="F34" authorId="0" shapeId="0" xr:uid="{D5465448-5085-412C-B174-ED3790BAD67D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Inventory per service:
nail polish
gloves
face mask
scrup cream for exfoliation
lotion
Foot callus removal gel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B3" authorId="0" shapeId="0" xr:uid="{B3E68DF5-D7B0-4941-BAEC-638E9C9B2BDF}">
      <text>
        <r>
          <rPr>
            <b/>
            <sz val="9"/>
            <color indexed="81"/>
            <rFont val="Tahoma"/>
            <charset val="1"/>
          </rPr>
          <t>User:</t>
        </r>
        <r>
          <rPr>
            <sz val="9"/>
            <color indexed="81"/>
            <rFont val="Tahoma"/>
            <charset val="1"/>
          </rPr>
          <t xml:space="preserve">
25 customers</t>
        </r>
      </text>
    </comment>
    <comment ref="C3" authorId="0" shapeId="0" xr:uid="{1712E4E2-B060-442F-82C9-3B9D27BFC3FB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25 customers</t>
        </r>
      </text>
    </comment>
    <comment ref="D3" authorId="0" shapeId="0" xr:uid="{21123586-9609-477B-9F25-F42EC82266A2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15 customers</t>
        </r>
      </text>
    </comment>
    <comment ref="E3" authorId="0" shapeId="0" xr:uid="{4FA1B9B2-095C-46E7-A4EE-A858C30BC617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15 customers</t>
        </r>
      </text>
    </comment>
    <comment ref="F3" authorId="0" shapeId="0" xr:uid="{2E25587C-2E4B-4749-B013-B02F843DC9D7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15 customers</t>
        </r>
      </text>
    </comment>
    <comment ref="G3" authorId="0" shapeId="0" xr:uid="{321D3B9D-7DD2-4FD7-A7B3-141B30D4E72E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35 customers</t>
        </r>
      </text>
    </comment>
    <comment ref="H3" authorId="0" shapeId="0" xr:uid="{3B96C054-2988-4A88-9885-4A2DB11D8ADC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15 customers</t>
        </r>
      </text>
    </comment>
    <comment ref="I3" authorId="0" shapeId="0" xr:uid="{60603FDE-7533-4C96-A0BF-AB9E7DB45A2E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40 customers</t>
        </r>
      </text>
    </comment>
    <comment ref="J3" authorId="0" shapeId="0" xr:uid="{DD09556F-5670-4159-876D-3FAEDA9729CA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25 customers
</t>
        </r>
      </text>
    </comment>
    <comment ref="K3" authorId="0" shapeId="0" xr:uid="{DEF093CF-F8A7-4A7A-8835-F6CA526DD082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45 customers</t>
        </r>
      </text>
    </comment>
    <comment ref="L3" authorId="0" shapeId="0" xr:uid="{C7F27E4A-504E-4EF3-8781-00CD08F7BD7B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40 customers</t>
        </r>
      </text>
    </comment>
    <comment ref="M3" authorId="0" shapeId="0" xr:uid="{FA6AF6C5-46AE-4F17-9D9B-5746F1650A53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50 customers</t>
        </r>
      </text>
    </comment>
    <comment ref="B17" authorId="0" shapeId="0" xr:uid="{B015C5F2-F504-4AB6-B06D-170150926487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2 hours per customer service</t>
        </r>
      </text>
    </comment>
    <comment ref="C17" authorId="0" shapeId="0" xr:uid="{06563A19-1A34-464C-A59F-D124ECE4279F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2 hrs per customer service</t>
        </r>
      </text>
    </comment>
    <comment ref="D17" authorId="0" shapeId="0" xr:uid="{9E39F2C4-1E3E-4114-8EBA-2A744CCD371F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2 hrs per customer service</t>
        </r>
      </text>
    </comment>
    <comment ref="E17" authorId="0" shapeId="0" xr:uid="{8C816D7A-629D-4CB2-A55A-48B227922216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2 hrs per customer service</t>
        </r>
      </text>
    </comment>
    <comment ref="F17" authorId="0" shapeId="0" xr:uid="{FA4D0A32-AF56-40B5-BE6E-9CEDD4505B9A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2 hrs per customer service</t>
        </r>
      </text>
    </comment>
    <comment ref="G17" authorId="0" shapeId="0" xr:uid="{B7B4A03A-C19B-4C4E-BB1F-A5B04951448A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2 hrs per customer service</t>
        </r>
      </text>
    </comment>
    <comment ref="H17" authorId="0" shapeId="0" xr:uid="{1FC793D2-A6F0-414A-B3C8-2F8FD4475B17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2 hrs per customer service</t>
        </r>
      </text>
    </comment>
    <comment ref="I17" authorId="0" shapeId="0" xr:uid="{8A7C6913-E0BD-4085-AFD5-6531D5CAD64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2 hours / customer</t>
        </r>
      </text>
    </comment>
    <comment ref="J17" authorId="0" shapeId="0" xr:uid="{25E1C26C-F97E-4852-83EE-4EF942F367EC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2 hours customer</t>
        </r>
      </text>
    </comment>
    <comment ref="K17" authorId="0" shapeId="0" xr:uid="{F1B2C6E8-550B-4826-B624-DDCE28A9BAF9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2 hours per customer</t>
        </r>
      </text>
    </comment>
    <comment ref="L17" authorId="0" shapeId="0" xr:uid="{89A4C453-565F-41C0-A292-FFE96C99FA91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2 hurs per customer</t>
        </r>
      </text>
    </comment>
    <comment ref="F33" authorId="0" shapeId="0" xr:uid="{6093DAF0-38B4-4AB4-B68C-0AA145AC261F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Inventroy per service:
gloves
face mask
hair color</t>
        </r>
      </text>
    </comment>
    <comment ref="F34" authorId="0" shapeId="0" xr:uid="{DD0DFA08-A5E8-4CF4-9CDE-8403FB056D6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Inventory per service:
wax
gloves
face mask
strips 
spatulla</t>
        </r>
      </text>
    </comment>
    <comment ref="F35" authorId="0" shapeId="0" xr:uid="{0CC15979-D375-4952-8C6E-8D3CFEE4AEB9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Inventory per service:
nail polish
gloves
face mask
scrup cream for exfoliation
lotion
Foot callus removal gel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B3" authorId="0" shapeId="0" xr:uid="{FDEC8753-0299-4763-AF3F-F5F33E324A46}">
      <text>
        <r>
          <rPr>
            <b/>
            <sz val="9"/>
            <color indexed="81"/>
            <rFont val="Tahoma"/>
            <charset val="1"/>
          </rPr>
          <t xml:space="preserve">User:
70 </t>
        </r>
        <r>
          <rPr>
            <sz val="9"/>
            <color indexed="81"/>
            <rFont val="Tahoma"/>
            <charset val="1"/>
          </rPr>
          <t>customers</t>
        </r>
      </text>
    </comment>
    <comment ref="C3" authorId="0" shapeId="0" xr:uid="{AC2BF07A-480B-4B6B-AD59-C2E1F8183B36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50 customers</t>
        </r>
      </text>
    </comment>
    <comment ref="D3" authorId="0" shapeId="0" xr:uid="{D04BEFC3-9C3F-4738-9DEB-AF4EA8BEAB3D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50 customers</t>
        </r>
      </text>
    </comment>
    <comment ref="E3" authorId="0" shapeId="0" xr:uid="{5A7F5C3F-7C85-4E25-8CE2-C61FB7E4E7F7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40 customers</t>
        </r>
      </text>
    </comment>
    <comment ref="F3" authorId="0" shapeId="0" xr:uid="{C2F43659-B252-4092-A56A-4060CE0D1A27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40 customers</t>
        </r>
      </text>
    </comment>
    <comment ref="G3" authorId="0" shapeId="0" xr:uid="{ADF531BD-CAF2-43BF-A3BB-D5C02421FBEF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85 customers</t>
        </r>
      </text>
    </comment>
    <comment ref="H3" authorId="0" shapeId="0" xr:uid="{13211F5C-498F-463D-81CA-656E15870F44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50 customers</t>
        </r>
      </text>
    </comment>
    <comment ref="I3" authorId="0" shapeId="0" xr:uid="{90A98D9E-FB71-4D01-A1E6-1DE06F73A394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70 customers</t>
        </r>
      </text>
    </comment>
    <comment ref="J3" authorId="0" shapeId="0" xr:uid="{282CB774-BA19-4D16-A0C1-FC7DF0D1DB9A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50 customers
</t>
        </r>
      </text>
    </comment>
    <comment ref="K3" authorId="0" shapeId="0" xr:uid="{0D772389-F416-42F7-8C7B-6FF6B1ED0945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60 customers</t>
        </r>
      </text>
    </comment>
    <comment ref="L3" authorId="0" shapeId="0" xr:uid="{DD0AA473-1B72-44B7-A36D-D35BA6682517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70 customers</t>
        </r>
      </text>
    </comment>
    <comment ref="M3" authorId="0" shapeId="0" xr:uid="{2ADCF686-FBB2-4808-AE6B-5E7FF59E33A5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80 customers</t>
        </r>
      </text>
    </comment>
    <comment ref="B17" authorId="0" shapeId="0" xr:uid="{F05CE63A-DB1F-45F6-8076-C8F358FA791E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2 hours per customer service</t>
        </r>
      </text>
    </comment>
    <comment ref="C17" authorId="0" shapeId="0" xr:uid="{4567AB7B-1BFE-4872-9CDA-902BDDF17EF3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2 hrs per customer service</t>
        </r>
      </text>
    </comment>
    <comment ref="D17" authorId="0" shapeId="0" xr:uid="{DF23718E-9761-47F1-8AA4-6E2EB70705BB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2 hrs per customer service</t>
        </r>
      </text>
    </comment>
    <comment ref="E17" authorId="0" shapeId="0" xr:uid="{BEE3F404-B630-4B97-A7CA-84876ED00309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2 hrs per customer service</t>
        </r>
      </text>
    </comment>
    <comment ref="F17" authorId="0" shapeId="0" xr:uid="{8D1C10BD-EC28-462A-B981-E8304FED06BB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2 hrs per customer service</t>
        </r>
      </text>
    </comment>
    <comment ref="G17" authorId="0" shapeId="0" xr:uid="{84374778-D5D4-4D24-9227-8880F3033F06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2 hrs per customer service</t>
        </r>
      </text>
    </comment>
    <comment ref="H17" authorId="0" shapeId="0" xr:uid="{9C2BBDAE-2459-4205-B7C0-53B0A1DF1A18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2 hrs per customer service</t>
        </r>
      </text>
    </comment>
    <comment ref="I17" authorId="0" shapeId="0" xr:uid="{30C0CD57-406F-492E-BB2B-4D13FB6D55A3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2 hours / customer</t>
        </r>
      </text>
    </comment>
    <comment ref="J17" authorId="0" shapeId="0" xr:uid="{CD7DEF61-7B02-4915-95A8-AEDD89B7CEBF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2 hours customer</t>
        </r>
      </text>
    </comment>
    <comment ref="K17" authorId="0" shapeId="0" xr:uid="{A9D7E8C9-55CC-4A49-9F00-C2182D07DB9D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2 hours per customer</t>
        </r>
      </text>
    </comment>
    <comment ref="L17" authorId="0" shapeId="0" xr:uid="{F2E05584-2E69-4A70-B720-8CCD02EB8CB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2 hurs per customer</t>
        </r>
      </text>
    </comment>
    <comment ref="F32" authorId="0" shapeId="0" xr:uid="{02DA9BBD-4911-42D6-B9BA-484576F9EECA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Inventroy per service:
gloves
face mask
hair color</t>
        </r>
      </text>
    </comment>
    <comment ref="F33" authorId="0" shapeId="0" xr:uid="{C4900183-1365-489C-BFC2-1E410B0EEF44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Inventory per service:
wax
gloves
face mask
strips 
spatulla</t>
        </r>
      </text>
    </comment>
    <comment ref="F34" authorId="0" shapeId="0" xr:uid="{9F34E249-5215-4A50-B87D-6E7682CD907D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Inventory per service:
nail polish
gloves
face mask
scrup cream for exfoliation
lotion
Foot callus removal gel
</t>
        </r>
      </text>
    </comment>
  </commentList>
</comments>
</file>

<file path=xl/sharedStrings.xml><?xml version="1.0" encoding="utf-8"?>
<sst xmlns="http://schemas.openxmlformats.org/spreadsheetml/2006/main" count="386" uniqueCount="117">
  <si>
    <t xml:space="preserve">Income Statement Year 1 </t>
  </si>
  <si>
    <t xml:space="preserve">Cash Flow Year 1 </t>
  </si>
  <si>
    <t xml:space="preserve">Balance Sheet Year 1 </t>
  </si>
  <si>
    <t xml:space="preserve">Revenue </t>
  </si>
  <si>
    <t xml:space="preserve">Month 1 </t>
  </si>
  <si>
    <t xml:space="preserve">Month 2 </t>
  </si>
  <si>
    <t>Month 3</t>
  </si>
  <si>
    <t>Month 4</t>
  </si>
  <si>
    <t>Month 5</t>
  </si>
  <si>
    <t>Month 6</t>
  </si>
  <si>
    <t>Month 7</t>
  </si>
  <si>
    <t>Month 8</t>
  </si>
  <si>
    <t>Month 9</t>
  </si>
  <si>
    <t>Month 10</t>
  </si>
  <si>
    <t>Month 11</t>
  </si>
  <si>
    <t>Month 12</t>
  </si>
  <si>
    <t xml:space="preserve">Annual Total </t>
  </si>
  <si>
    <t xml:space="preserve">Start Up Costs </t>
  </si>
  <si>
    <t xml:space="preserve">Past Purchases Items Already Bought for the Business </t>
  </si>
  <si>
    <t xml:space="preserve">Funding Sources </t>
  </si>
  <si>
    <t xml:space="preserve">Total Start Up Costs </t>
  </si>
  <si>
    <t>Wages</t>
  </si>
  <si>
    <t>Legal Fees</t>
  </si>
  <si>
    <t>Supplies</t>
  </si>
  <si>
    <t>Net Profit After Tax</t>
  </si>
  <si>
    <t>COGS</t>
  </si>
  <si>
    <t>Net Income Before Tax</t>
  </si>
  <si>
    <t xml:space="preserve">Total Revenue </t>
  </si>
  <si>
    <t xml:space="preserve">Operating </t>
  </si>
  <si>
    <t xml:space="preserve">Gross Profit </t>
  </si>
  <si>
    <t>Cash on Hand (beginnning of the month)</t>
  </si>
  <si>
    <t>Accounts Receivable</t>
  </si>
  <si>
    <t>Cash Sales</t>
  </si>
  <si>
    <t>Cash In</t>
  </si>
  <si>
    <t xml:space="preserve">Total Cash In </t>
  </si>
  <si>
    <t xml:space="preserve">Operating Expenses </t>
  </si>
  <si>
    <t xml:space="preserve">Salaries and Wages </t>
  </si>
  <si>
    <t>Subtotal Operating expenses</t>
  </si>
  <si>
    <t xml:space="preserve">Total Cash Out </t>
  </si>
  <si>
    <t>Total Cash Inlays</t>
  </si>
  <si>
    <t>Total Cash Outlays</t>
  </si>
  <si>
    <t>Total Cash Available Before Cash Outlays</t>
  </si>
  <si>
    <t xml:space="preserve">Net Changes in Cash </t>
  </si>
  <si>
    <t>Retained Earnings</t>
  </si>
  <si>
    <t xml:space="preserve">Ending Cash Balance </t>
  </si>
  <si>
    <t xml:space="preserve">Start up costs </t>
  </si>
  <si>
    <t>Hair Blower</t>
  </si>
  <si>
    <t>CHI Pre-Set Temp Curling Iron</t>
  </si>
  <si>
    <t>Kit of hair trimming scissors/comb/brush</t>
  </si>
  <si>
    <t>Wax warmer waxing kit for Men &amp; Women</t>
  </si>
  <si>
    <t>1200 ml of Lipo Wax Hair Remover</t>
  </si>
  <si>
    <t>Owner Contributions (used/secondhand  car)</t>
  </si>
  <si>
    <t>Owner Contribution</t>
  </si>
  <si>
    <t>Inventory / Supplies</t>
  </si>
  <si>
    <t>Legal Fees / Insurance / Business Permit</t>
  </si>
  <si>
    <t>Other Services ($220 minimum)</t>
  </si>
  <si>
    <t>Sales Category 1 (Package 1: $230)</t>
  </si>
  <si>
    <t>Sales Category 2 (Package 2: $270)</t>
  </si>
  <si>
    <t>Sales Category 3 (Package 3: $220)</t>
  </si>
  <si>
    <t>Package 1</t>
  </si>
  <si>
    <t>Package 2</t>
  </si>
  <si>
    <t>Package 3</t>
  </si>
  <si>
    <t>Fuel Expense</t>
  </si>
  <si>
    <t xml:space="preserve">Total Operting Expenses 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</si>
  <si>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</si>
  <si>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</si>
  <si>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</si>
  <si>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</si>
  <si>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</si>
  <si>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</si>
  <si>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</si>
  <si>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</si>
  <si>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</si>
  <si>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</si>
  <si>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</si>
  <si>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</si>
  <si>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 xml:space="preserve">Valentines </t>
  </si>
  <si>
    <t>New Year</t>
  </si>
  <si>
    <t>Christmas</t>
  </si>
  <si>
    <t>Haloween</t>
  </si>
  <si>
    <t>Thanks Giving</t>
  </si>
  <si>
    <t>River Boat Day</t>
  </si>
  <si>
    <t>QUEEN'S GLAM ON THE GO!</t>
  </si>
  <si>
    <t xml:space="preserve">Equipments </t>
  </si>
  <si>
    <t>Professional full kit manicure and pedicure UV light</t>
  </si>
  <si>
    <t>Others</t>
  </si>
  <si>
    <t xml:space="preserve">Supplies etc. </t>
  </si>
  <si>
    <t>Assets ($)</t>
  </si>
  <si>
    <t>Liabilities &amp; Expenses ($)</t>
  </si>
  <si>
    <t>Owner's Equity ($)</t>
  </si>
  <si>
    <t>Current Assets</t>
  </si>
  <si>
    <t>Cash</t>
  </si>
  <si>
    <t>Receivables</t>
  </si>
  <si>
    <t>Inventory (all items)</t>
  </si>
  <si>
    <t>Total Current Assets</t>
  </si>
  <si>
    <t>Fixed Assets</t>
  </si>
  <si>
    <t>Total Fixed Assets</t>
  </si>
  <si>
    <t>Total Assets</t>
  </si>
  <si>
    <t>Accounts Payable</t>
  </si>
  <si>
    <t>Loans Payable</t>
  </si>
  <si>
    <t>Total Liabilities</t>
  </si>
  <si>
    <t>Owner’s Contribution</t>
  </si>
  <si>
    <t>Owner’s Withdrawals</t>
  </si>
  <si>
    <t>Total Owner’s Equity</t>
  </si>
  <si>
    <t>Total Liabilities &amp; Owner's Equity</t>
  </si>
  <si>
    <t>Balance Sheet Year 2</t>
  </si>
  <si>
    <t>Balance Sheet Year 3</t>
  </si>
  <si>
    <t>Profit Margin</t>
  </si>
  <si>
    <t xml:space="preserve">Estimated Income Tax 12% </t>
  </si>
  <si>
    <t>Cash on Hand</t>
  </si>
  <si>
    <t>Car</t>
  </si>
  <si>
    <t>Less Depreciarion expense</t>
  </si>
  <si>
    <t>Total Book Value</t>
  </si>
  <si>
    <t>Graduation</t>
  </si>
  <si>
    <t>COST</t>
  </si>
  <si>
    <t>ITEM DISCREPTION</t>
  </si>
  <si>
    <t>Laptop/Computer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</si>
</sst>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9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3.5"/>
      <color rgb="FF000000"/>
      <name val="Times New Roman"/>
      <family val="1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sz val="10"/>
      <color rgb="FF000000"/>
      <name val="Courier New"/>
      <family val="1"/>
    </font>
    <font>
      <b/>
      <i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40"/>
      <color theme="1" tint="0.34998626667073579"/>
      <name val="Algerian"/>
      <family val="5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2"/>
      <color rgb="FF111111"/>
      <name val="Arial"/>
      <family val="2"/>
    </font>
    <font>
      <sz val="35"/>
      <color theme="1" tint="0.34998626667073579"/>
      <name val="Algerian"/>
      <family val="5"/>
    </font>
    <font>
      <b/>
      <sz val="16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8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74">
    <xf numFmtId="0" fontId="0" fillId="0" borderId="0" xfId="0"/>
    <xf numFmtId="0" fontId="1" fillId="0" borderId="0" xfId="0" applyFont="1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horizontal="left" vertical="center" indent="1"/>
    </xf>
    <xf numFmtId="0" fontId="5" fillId="0" borderId="0" xfId="0" applyFont="1" applyAlignment="1">
      <alignment horizontal="left" vertical="center" indent="1"/>
    </xf>
    <xf numFmtId="0" fontId="4" fillId="0" borderId="0" xfId="0" applyFont="1" applyAlignment="1">
      <alignment horizontal="left" vertical="center" indent="2"/>
    </xf>
    <xf numFmtId="0" fontId="6" fillId="0" borderId="0" xfId="0" applyFont="1" applyAlignment="1">
      <alignment horizontal="left" vertical="center" indent="1"/>
    </xf>
    <xf numFmtId="44" fontId="0" fillId="0" borderId="0" xfId="1" applyFont="1"/>
    <xf numFmtId="0" fontId="0" fillId="0" borderId="1" xfId="0" applyBorder="1"/>
    <xf numFmtId="44" fontId="0" fillId="0" borderId="0" xfId="1" applyFont="1" applyBorder="1"/>
    <xf numFmtId="44" fontId="0" fillId="0" borderId="2" xfId="1" applyFont="1" applyBorder="1"/>
    <xf numFmtId="0" fontId="1" fillId="0" borderId="1" xfId="0" applyFont="1" applyBorder="1"/>
    <xf numFmtId="0" fontId="0" fillId="2" borderId="0" xfId="0" applyFill="1"/>
    <xf numFmtId="0" fontId="0" fillId="0" borderId="3" xfId="0" applyBorder="1"/>
    <xf numFmtId="0" fontId="1" fillId="3" borderId="3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44" fontId="0" fillId="0" borderId="3" xfId="0" applyNumberFormat="1" applyBorder="1"/>
    <xf numFmtId="44" fontId="0" fillId="0" borderId="3" xfId="1" applyFont="1" applyBorder="1"/>
    <xf numFmtId="44" fontId="1" fillId="0" borderId="3" xfId="1" applyFont="1" applyBorder="1"/>
    <xf numFmtId="44" fontId="1" fillId="0" borderId="3" xfId="0" applyNumberFormat="1" applyFont="1" applyBorder="1"/>
    <xf numFmtId="9" fontId="14" fillId="0" borderId="0" xfId="2" applyFont="1"/>
    <xf numFmtId="0" fontId="11" fillId="2" borderId="3" xfId="0" applyFont="1" applyFill="1" applyBorder="1" applyAlignment="1">
      <alignment horizontal="left"/>
    </xf>
    <xf numFmtId="0" fontId="0" fillId="2" borderId="3" xfId="0" applyFill="1" applyBorder="1"/>
    <xf numFmtId="0" fontId="1" fillId="0" borderId="3" xfId="0" applyFont="1" applyBorder="1"/>
    <xf numFmtId="0" fontId="1" fillId="4" borderId="3" xfId="0" applyFont="1" applyFill="1" applyBorder="1"/>
    <xf numFmtId="44" fontId="1" fillId="4" borderId="3" xfId="1" applyFont="1" applyFill="1" applyBorder="1"/>
    <xf numFmtId="0" fontId="1" fillId="6" borderId="3" xfId="0" applyFont="1" applyFill="1" applyBorder="1"/>
    <xf numFmtId="44" fontId="1" fillId="6" borderId="3" xfId="1" applyFont="1" applyFill="1" applyBorder="1"/>
    <xf numFmtId="0" fontId="1" fillId="7" borderId="3" xfId="0" applyFont="1" applyFill="1" applyBorder="1"/>
    <xf numFmtId="44" fontId="1" fillId="7" borderId="3" xfId="1" applyFont="1" applyFill="1" applyBorder="1"/>
    <xf numFmtId="0" fontId="1" fillId="3" borderId="3" xfId="0" applyFont="1" applyFill="1" applyBorder="1"/>
    <xf numFmtId="9" fontId="14" fillId="3" borderId="3" xfId="2" applyFont="1" applyFill="1" applyBorder="1"/>
    <xf numFmtId="0" fontId="11" fillId="0" borderId="3" xfId="0" applyFont="1" applyBorder="1" applyAlignment="1">
      <alignment horizontal="left"/>
    </xf>
    <xf numFmtId="0" fontId="7" fillId="0" borderId="3" xfId="0" applyFont="1" applyBorder="1"/>
    <xf numFmtId="0" fontId="1" fillId="8" borderId="3" xfId="0" applyFont="1" applyFill="1" applyBorder="1"/>
    <xf numFmtId="0" fontId="0" fillId="8" borderId="3" xfId="0" applyFill="1" applyBorder="1"/>
    <xf numFmtId="17" fontId="1" fillId="8" borderId="3" xfId="0" applyNumberFormat="1" applyFont="1" applyFill="1" applyBorder="1"/>
    <xf numFmtId="44" fontId="1" fillId="6" borderId="3" xfId="0" applyNumberFormat="1" applyFont="1" applyFill="1" applyBorder="1"/>
    <xf numFmtId="0" fontId="7" fillId="7" borderId="3" xfId="0" applyFont="1" applyFill="1" applyBorder="1"/>
    <xf numFmtId="44" fontId="1" fillId="7" borderId="3" xfId="0" applyNumberFormat="1" applyFont="1" applyFill="1" applyBorder="1"/>
    <xf numFmtId="44" fontId="1" fillId="3" borderId="3" xfId="0" applyNumberFormat="1" applyFont="1" applyFill="1" applyBorder="1"/>
    <xf numFmtId="0" fontId="1" fillId="9" borderId="3" xfId="0" applyFont="1" applyFill="1" applyBorder="1"/>
    <xf numFmtId="0" fontId="0" fillId="9" borderId="3" xfId="0" applyFill="1" applyBorder="1"/>
    <xf numFmtId="17" fontId="1" fillId="9" borderId="3" xfId="0" applyNumberFormat="1" applyFont="1" applyFill="1" applyBorder="1"/>
    <xf numFmtId="0" fontId="7" fillId="10" borderId="3" xfId="0" applyFont="1" applyFill="1" applyBorder="1"/>
    <xf numFmtId="44" fontId="1" fillId="10" borderId="3" xfId="1" applyFont="1" applyFill="1" applyBorder="1"/>
    <xf numFmtId="0" fontId="1" fillId="10" borderId="3" xfId="0" applyFont="1" applyFill="1" applyBorder="1"/>
    <xf numFmtId="44" fontId="1" fillId="10" borderId="3" xfId="0" applyNumberFormat="1" applyFont="1" applyFill="1" applyBorder="1"/>
    <xf numFmtId="44" fontId="8" fillId="0" borderId="3" xfId="1" applyFont="1" applyBorder="1"/>
    <xf numFmtId="0" fontId="17" fillId="0" borderId="3" xfId="0" applyFont="1" applyBorder="1" applyAlignment="1">
      <alignment horizontal="center"/>
    </xf>
    <xf numFmtId="44" fontId="17" fillId="0" borderId="3" xfId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11" borderId="3" xfId="0" applyFont="1" applyFill="1" applyBorder="1" applyAlignment="1">
      <alignment vertical="center" wrapText="1"/>
    </xf>
    <xf numFmtId="44" fontId="1" fillId="11" borderId="3" xfId="0" applyNumberFormat="1" applyFont="1" applyFill="1" applyBorder="1"/>
    <xf numFmtId="0" fontId="0" fillId="11" borderId="3" xfId="0" applyFill="1" applyBorder="1"/>
    <xf numFmtId="44" fontId="1" fillId="11" borderId="3" xfId="1" applyFont="1" applyFill="1" applyBorder="1"/>
    <xf numFmtId="44" fontId="0" fillId="11" borderId="3" xfId="1" applyFont="1" applyFill="1" applyBorder="1"/>
    <xf numFmtId="4" fontId="0" fillId="0" borderId="0" xfId="0" applyNumberFormat="1"/>
    <xf numFmtId="0" fontId="15" fillId="5" borderId="3" xfId="0" applyFont="1" applyFill="1" applyBorder="1" applyAlignment="1">
      <alignment horizontal="left"/>
    </xf>
    <xf numFmtId="0" fontId="16" fillId="0" borderId="3" xfId="0" applyFont="1" applyBorder="1" applyAlignment="1">
      <alignment horizontal="center"/>
    </xf>
    <xf numFmtId="0" fontId="1" fillId="0" borderId="3" xfId="0" applyFont="1" applyBorder="1" applyAlignment="1">
      <alignment horizontal="left"/>
    </xf>
    <xf numFmtId="0" fontId="11" fillId="5" borderId="5" xfId="0" applyFont="1" applyFill="1" applyBorder="1" applyAlignment="1">
      <alignment horizontal="center"/>
    </xf>
    <xf numFmtId="0" fontId="11" fillId="5" borderId="6" xfId="0" applyFont="1" applyFill="1" applyBorder="1" applyAlignment="1">
      <alignment horizontal="center"/>
    </xf>
    <xf numFmtId="0" fontId="11" fillId="5" borderId="4" xfId="0" applyFont="1" applyFill="1" applyBorder="1" applyAlignment="1">
      <alignment horizontal="center"/>
    </xf>
    <xf numFmtId="0" fontId="11" fillId="5" borderId="3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 vertical="center" wrapText="1"/>
    </xf>
    <xf numFmtId="0" fontId="18" fillId="11" borderId="3" xfId="0" applyFont="1" applyFill="1" applyBorder="1" applyAlignment="1">
      <alignment horizontal="center"/>
    </xf>
    <xf numFmtId="0" fontId="11" fillId="5" borderId="3" xfId="0" applyFont="1" applyFill="1" applyBorder="1" applyAlignment="1">
      <alignment horizontal="left"/>
    </xf>
    <xf numFmtId="0" fontId="18" fillId="9" borderId="5" xfId="0" applyFont="1" applyFill="1" applyBorder="1" applyAlignment="1">
      <alignment horizontal="center"/>
    </xf>
    <xf numFmtId="0" fontId="18" fillId="9" borderId="6" xfId="0" applyFont="1" applyFill="1" applyBorder="1" applyAlignment="1">
      <alignment horizontal="center"/>
    </xf>
    <xf numFmtId="0" fontId="18" fillId="9" borderId="4" xfId="0" applyFont="1" applyFill="1" applyBorder="1" applyAlignment="1">
      <alignment horizont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FFCCCC"/>
      <color rgb="FF495B7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820980</xdr:colOff>
      <xdr:row>30</xdr:row>
      <xdr:rowOff>61582</xdr:rowOff>
    </xdr:from>
    <xdr:to>
      <xdr:col>10</xdr:col>
      <xdr:colOff>673099</xdr:colOff>
      <xdr:row>41</xdr:row>
      <xdr:rowOff>138639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1D823E7-428E-3162-3733-C38F96AA27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94313" y="8164182"/>
          <a:ext cx="3814519" cy="221912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820980</xdr:colOff>
      <xdr:row>31</xdr:row>
      <xdr:rowOff>61582</xdr:rowOff>
    </xdr:from>
    <xdr:to>
      <xdr:col>10</xdr:col>
      <xdr:colOff>673099</xdr:colOff>
      <xdr:row>42</xdr:row>
      <xdr:rowOff>138639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FF810B3-C0F0-4A0C-8521-C61424EEF4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83730" y="8500732"/>
          <a:ext cx="3808169" cy="224240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820980</xdr:colOff>
      <xdr:row>30</xdr:row>
      <xdr:rowOff>61582</xdr:rowOff>
    </xdr:from>
    <xdr:to>
      <xdr:col>10</xdr:col>
      <xdr:colOff>749299</xdr:colOff>
      <xdr:row>41</xdr:row>
      <xdr:rowOff>138639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97B0D8E-99C6-49B5-93D8-FB5DBA0674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83730" y="8500732"/>
          <a:ext cx="3808169" cy="224240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8DB790-EBE9-6E4F-99D1-F8AE6AB93EB1}">
  <dimension ref="A1:C24"/>
  <sheetViews>
    <sheetView tabSelected="1" zoomScale="85" zoomScaleNormal="85" workbookViewId="0">
      <selection activeCell="D1" sqref="D1:D1048576"/>
    </sheetView>
  </sheetViews>
  <sheetFormatPr defaultColWidth="10.625" defaultRowHeight="15.75" x14ac:dyDescent="0.25"/>
  <cols>
    <col min="1" max="1" width="51.75" bestFit="1" customWidth="1"/>
    <col min="2" max="2" width="12.875" style="9" bestFit="1" customWidth="1"/>
    <col min="3" max="3" width="10.625" customWidth="1"/>
  </cols>
  <sheetData>
    <row r="1" spans="1:3" ht="50.25" x14ac:dyDescent="0.8">
      <c r="A1" s="61" t="s">
        <v>82</v>
      </c>
      <c r="B1" s="61"/>
      <c r="C1" s="61"/>
    </row>
    <row r="2" spans="1:3" ht="21" x14ac:dyDescent="0.35">
      <c r="A2" s="62" t="s">
        <v>17</v>
      </c>
      <c r="B2" s="62"/>
      <c r="C2" s="62"/>
    </row>
    <row r="3" spans="1:3" x14ac:dyDescent="0.25">
      <c r="A3" s="63" t="s">
        <v>18</v>
      </c>
      <c r="B3" s="63"/>
      <c r="C3" s="63"/>
    </row>
    <row r="4" spans="1:3" ht="17.25" x14ac:dyDescent="0.3">
      <c r="A4" s="52" t="s">
        <v>115</v>
      </c>
      <c r="B4" s="53" t="s">
        <v>114</v>
      </c>
      <c r="C4" s="15"/>
    </row>
    <row r="5" spans="1:3" ht="15.95" customHeight="1" x14ac:dyDescent="0.25">
      <c r="A5" s="15" t="s">
        <v>46</v>
      </c>
      <c r="B5" s="20">
        <v>35</v>
      </c>
      <c r="C5" s="15"/>
    </row>
    <row r="6" spans="1:3" x14ac:dyDescent="0.25">
      <c r="A6" s="15" t="s">
        <v>47</v>
      </c>
      <c r="B6" s="20">
        <v>40</v>
      </c>
      <c r="C6" s="15"/>
    </row>
    <row r="7" spans="1:3" x14ac:dyDescent="0.25">
      <c r="A7" s="15" t="s">
        <v>48</v>
      </c>
      <c r="B7" s="20">
        <v>55</v>
      </c>
      <c r="C7" s="15"/>
    </row>
    <row r="8" spans="1:3" x14ac:dyDescent="0.25">
      <c r="A8" s="15" t="s">
        <v>49</v>
      </c>
      <c r="B8" s="20">
        <v>156</v>
      </c>
      <c r="C8" s="15"/>
    </row>
    <row r="9" spans="1:3" x14ac:dyDescent="0.25">
      <c r="A9" s="15" t="s">
        <v>84</v>
      </c>
      <c r="B9" s="20">
        <v>63</v>
      </c>
      <c r="C9" s="15"/>
    </row>
    <row r="10" spans="1:3" x14ac:dyDescent="0.25">
      <c r="A10" s="15" t="s">
        <v>50</v>
      </c>
      <c r="B10" s="20">
        <v>10</v>
      </c>
      <c r="C10" s="15"/>
    </row>
    <row r="11" spans="1:3" x14ac:dyDescent="0.25">
      <c r="A11" s="15" t="s">
        <v>116</v>
      </c>
      <c r="B11" s="20">
        <v>800</v>
      </c>
      <c r="C11" s="15"/>
    </row>
    <row r="12" spans="1:3" x14ac:dyDescent="0.25">
      <c r="A12" s="26" t="s">
        <v>112</v>
      </c>
      <c r="B12" s="21">
        <f>SUM(B5:B11)</f>
        <v>1159</v>
      </c>
      <c r="C12" s="15"/>
    </row>
    <row r="13" spans="1:3" x14ac:dyDescent="0.25">
      <c r="A13" s="15"/>
      <c r="B13" s="20"/>
      <c r="C13" s="15"/>
    </row>
    <row r="14" spans="1:3" x14ac:dyDescent="0.25">
      <c r="A14" s="26" t="s">
        <v>45</v>
      </c>
      <c r="B14" s="20"/>
      <c r="C14" s="15"/>
    </row>
    <row r="15" spans="1:3" ht="15.95" customHeight="1" x14ac:dyDescent="0.25">
      <c r="A15" s="15" t="s">
        <v>83</v>
      </c>
      <c r="B15" s="20">
        <v>153</v>
      </c>
      <c r="C15" s="15"/>
    </row>
    <row r="16" spans="1:3" ht="15.95" customHeight="1" x14ac:dyDescent="0.25">
      <c r="A16" s="15" t="s">
        <v>54</v>
      </c>
      <c r="B16" s="20">
        <v>500</v>
      </c>
      <c r="C16" s="15"/>
    </row>
    <row r="17" spans="1:3" ht="15.95" customHeight="1" x14ac:dyDescent="0.25">
      <c r="A17" s="15" t="s">
        <v>51</v>
      </c>
      <c r="B17" s="20">
        <v>4000</v>
      </c>
      <c r="C17" s="15"/>
    </row>
    <row r="18" spans="1:3" x14ac:dyDescent="0.25">
      <c r="A18" s="15" t="s">
        <v>53</v>
      </c>
      <c r="B18" s="20">
        <v>332</v>
      </c>
      <c r="C18" s="15"/>
    </row>
    <row r="19" spans="1:3" x14ac:dyDescent="0.25">
      <c r="A19" s="15" t="s">
        <v>109</v>
      </c>
      <c r="B19" s="51">
        <v>1000</v>
      </c>
      <c r="C19" s="15"/>
    </row>
    <row r="20" spans="1:3" x14ac:dyDescent="0.25">
      <c r="A20" s="26" t="s">
        <v>20</v>
      </c>
      <c r="B20" s="21">
        <f>SUM(B15:B19)</f>
        <v>5985</v>
      </c>
      <c r="C20" s="15"/>
    </row>
    <row r="21" spans="1:3" x14ac:dyDescent="0.25">
      <c r="A21" s="26"/>
      <c r="B21" s="20"/>
      <c r="C21" s="15"/>
    </row>
    <row r="22" spans="1:3" x14ac:dyDescent="0.25">
      <c r="A22" s="26" t="s">
        <v>19</v>
      </c>
      <c r="B22" s="20"/>
      <c r="C22" s="15"/>
    </row>
    <row r="23" spans="1:3" ht="15.95" customHeight="1" x14ac:dyDescent="0.25">
      <c r="A23" s="26" t="s">
        <v>52</v>
      </c>
      <c r="B23" s="21">
        <f>B20+B12</f>
        <v>7144</v>
      </c>
      <c r="C23" s="15"/>
    </row>
    <row r="24" spans="1:3" x14ac:dyDescent="0.25">
      <c r="A24" s="15"/>
      <c r="B24" s="20"/>
      <c r="C24" s="15"/>
    </row>
  </sheetData>
  <mergeCells count="3">
    <mergeCell ref="A1:C1"/>
    <mergeCell ref="A2:C2"/>
    <mergeCell ref="A3:C3"/>
  </mergeCells>
  <pageMargins left="0.7" right="0.7" top="0.75" bottom="0.75" header="0.3" footer="0.3"/>
  <pageSetup orientation="portrait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EB5FEE-119D-43EA-B64A-DD50B099527E}">
  <dimension ref="A1:I19"/>
  <sheetViews>
    <sheetView topLeftCell="A23" zoomScale="85" zoomScaleNormal="85" workbookViewId="0">
      <selection activeCell="A26" sqref="A26:XFD42"/>
    </sheetView>
  </sheetViews>
  <sheetFormatPr defaultColWidth="10.625" defaultRowHeight="15.75" x14ac:dyDescent="0.25"/>
  <cols>
    <col min="1" max="2" width="25" customWidth="1"/>
    <col min="3" max="3" width="11.625" bestFit="1" customWidth="1"/>
    <col min="4" max="4" width="4.125" customWidth="1"/>
    <col min="5" max="5" width="29.875" customWidth="1"/>
    <col min="6" max="6" width="11.875" bestFit="1" customWidth="1"/>
    <col min="7" max="7" width="7.375" customWidth="1"/>
    <col min="8" max="8" width="28" customWidth="1"/>
    <col min="9" max="9" width="15" customWidth="1"/>
  </cols>
  <sheetData>
    <row r="1" spans="1:9" ht="57" x14ac:dyDescent="0.9">
      <c r="A1" s="67" t="s">
        <v>82</v>
      </c>
      <c r="B1" s="67"/>
      <c r="C1" s="67"/>
      <c r="D1" s="67"/>
      <c r="E1" s="67"/>
      <c r="F1" s="67"/>
      <c r="G1" s="67"/>
      <c r="H1" s="67"/>
      <c r="I1" s="67"/>
    </row>
    <row r="2" spans="1:9" x14ac:dyDescent="0.25">
      <c r="A2" s="15"/>
      <c r="B2" s="15"/>
      <c r="C2" s="15"/>
      <c r="D2" s="15"/>
      <c r="E2" s="15"/>
      <c r="F2" s="15"/>
      <c r="G2" s="15"/>
      <c r="H2" s="15"/>
      <c r="I2" s="15"/>
    </row>
    <row r="3" spans="1:9" s="54" customFormat="1" ht="26.25" x14ac:dyDescent="0.4">
      <c r="A3" s="71" t="s">
        <v>106</v>
      </c>
      <c r="B3" s="72"/>
      <c r="C3" s="72"/>
      <c r="D3" s="72"/>
      <c r="E3" s="72"/>
      <c r="F3" s="72"/>
      <c r="G3" s="72"/>
      <c r="H3" s="72"/>
      <c r="I3" s="73"/>
    </row>
    <row r="4" spans="1:9" x14ac:dyDescent="0.25">
      <c r="A4" s="15"/>
      <c r="B4" s="15"/>
      <c r="C4" s="15"/>
      <c r="D4" s="15"/>
      <c r="E4" s="15"/>
      <c r="F4" s="15"/>
      <c r="G4" s="15"/>
      <c r="H4" s="15"/>
      <c r="I4" s="15"/>
    </row>
    <row r="5" spans="1:9" x14ac:dyDescent="0.25">
      <c r="A5" s="15"/>
      <c r="B5" s="68" t="s">
        <v>87</v>
      </c>
      <c r="C5" s="68"/>
      <c r="D5" s="16"/>
      <c r="E5" s="16" t="s">
        <v>88</v>
      </c>
      <c r="F5" s="16"/>
      <c r="G5" s="16"/>
      <c r="H5" s="16" t="s">
        <v>89</v>
      </c>
      <c r="I5" s="15"/>
    </row>
    <row r="6" spans="1:9" x14ac:dyDescent="0.25">
      <c r="A6" s="17" t="s">
        <v>90</v>
      </c>
      <c r="B6" s="15"/>
      <c r="C6" s="15"/>
      <c r="D6" s="15"/>
      <c r="E6" s="15"/>
      <c r="F6" s="15"/>
      <c r="G6" s="15"/>
      <c r="H6" s="15"/>
      <c r="I6" s="15"/>
    </row>
    <row r="7" spans="1:9" x14ac:dyDescent="0.25">
      <c r="A7" s="18" t="s">
        <v>91</v>
      </c>
      <c r="B7" s="19"/>
      <c r="C7" s="19">
        <f>'Cash Flow Year 3'!M29</f>
        <v>15401.666666666668</v>
      </c>
      <c r="D7" s="15"/>
      <c r="E7" s="18" t="s">
        <v>98</v>
      </c>
      <c r="F7" s="20">
        <v>0</v>
      </c>
      <c r="G7" s="20"/>
      <c r="H7" s="18" t="s">
        <v>101</v>
      </c>
      <c r="I7" s="19">
        <f>'Start Up Costs '!B23</f>
        <v>7144</v>
      </c>
    </row>
    <row r="8" spans="1:9" x14ac:dyDescent="0.25">
      <c r="A8" s="18" t="s">
        <v>92</v>
      </c>
      <c r="B8" s="20"/>
      <c r="C8" s="20">
        <v>0</v>
      </c>
      <c r="D8" s="15"/>
      <c r="E8" s="18" t="s">
        <v>99</v>
      </c>
      <c r="F8" s="20">
        <v>0</v>
      </c>
      <c r="G8" s="20"/>
      <c r="H8" s="18" t="s">
        <v>43</v>
      </c>
      <c r="I8" s="19">
        <f>'Income Statement Year 3'!N25</f>
        <v>61991.6</v>
      </c>
    </row>
    <row r="9" spans="1:9" x14ac:dyDescent="0.25">
      <c r="A9" s="18" t="s">
        <v>93</v>
      </c>
      <c r="B9" s="19"/>
      <c r="C9" s="19">
        <f>'Income Statement Year 3'!N19</f>
        <v>799.99999999999989</v>
      </c>
      <c r="D9" s="15"/>
      <c r="E9" s="18"/>
      <c r="F9" s="20"/>
      <c r="G9" s="20"/>
      <c r="H9" s="18" t="s">
        <v>102</v>
      </c>
      <c r="I9" s="20">
        <f>I7+I8-C19</f>
        <v>51333.943333333336</v>
      </c>
    </row>
    <row r="10" spans="1:9" x14ac:dyDescent="0.25">
      <c r="A10" s="17" t="s">
        <v>94</v>
      </c>
      <c r="B10" s="22"/>
      <c r="C10" s="22">
        <f>SUM(C7:C9)</f>
        <v>16201.666666666668</v>
      </c>
      <c r="D10" s="15"/>
      <c r="E10" s="17" t="s">
        <v>100</v>
      </c>
      <c r="F10" s="20">
        <f>SUM(F7:F9)</f>
        <v>0</v>
      </c>
      <c r="G10" s="20"/>
      <c r="H10" s="17" t="s">
        <v>103</v>
      </c>
      <c r="I10" s="22">
        <f>I7+I8-I9</f>
        <v>17801.656666666669</v>
      </c>
    </row>
    <row r="11" spans="1:9" x14ac:dyDescent="0.25">
      <c r="A11" s="17"/>
      <c r="B11" s="22"/>
      <c r="C11" s="22"/>
      <c r="D11" s="15"/>
      <c r="E11" s="17"/>
      <c r="F11" s="20"/>
      <c r="G11" s="20"/>
      <c r="H11" s="17"/>
      <c r="I11" s="22"/>
    </row>
    <row r="12" spans="1:9" x14ac:dyDescent="0.25">
      <c r="A12" s="17" t="s">
        <v>95</v>
      </c>
      <c r="B12" s="15"/>
      <c r="C12" s="15"/>
      <c r="D12" s="15"/>
      <c r="E12" s="18"/>
      <c r="F12" s="20">
        <f>SUM(F8:F10)</f>
        <v>0</v>
      </c>
      <c r="G12" s="20"/>
      <c r="H12" s="18"/>
      <c r="I12" s="15"/>
    </row>
    <row r="13" spans="1:9" x14ac:dyDescent="0.25">
      <c r="A13" s="18" t="s">
        <v>110</v>
      </c>
      <c r="B13" s="20">
        <f>'Balance Sheet Year 2'!C13</f>
        <v>2400</v>
      </c>
      <c r="C13" s="20"/>
      <c r="D13" s="15"/>
      <c r="E13" s="18"/>
      <c r="F13" s="20">
        <f>SUM(F9:F12)</f>
        <v>0</v>
      </c>
      <c r="G13" s="20"/>
      <c r="H13" s="18"/>
      <c r="I13" s="15"/>
    </row>
    <row r="14" spans="1:9" x14ac:dyDescent="0.25">
      <c r="A14" s="18" t="s">
        <v>111</v>
      </c>
      <c r="B14" s="20">
        <v>800</v>
      </c>
      <c r="C14" s="20">
        <f>B13-B14</f>
        <v>1600</v>
      </c>
      <c r="D14" s="15"/>
      <c r="E14" s="18"/>
      <c r="F14" s="20"/>
      <c r="G14" s="20"/>
      <c r="H14" s="18"/>
      <c r="I14" s="15"/>
    </row>
    <row r="15" spans="1:9" x14ac:dyDescent="0.25">
      <c r="A15" s="15" t="s">
        <v>116</v>
      </c>
      <c r="B15" s="20">
        <f>'Balance Sheet Year 2'!C15</f>
        <v>266.65999999999991</v>
      </c>
      <c r="C15" s="20"/>
      <c r="D15" s="15"/>
      <c r="E15" s="18"/>
      <c r="F15" s="20">
        <f>SUM(F10:F13)</f>
        <v>0</v>
      </c>
      <c r="G15" s="20"/>
      <c r="H15" s="18"/>
      <c r="I15" s="15"/>
    </row>
    <row r="16" spans="1:9" x14ac:dyDescent="0.25">
      <c r="A16" s="18" t="s">
        <v>111</v>
      </c>
      <c r="B16" s="20">
        <v>266.67</v>
      </c>
      <c r="C16" s="20">
        <f>B15-B16</f>
        <v>-1.0000000000104592E-2</v>
      </c>
      <c r="D16" s="15"/>
      <c r="E16" s="18"/>
      <c r="F16" s="20"/>
      <c r="G16" s="20"/>
      <c r="H16" s="18"/>
      <c r="I16" s="15"/>
    </row>
    <row r="17" spans="1:9" x14ac:dyDescent="0.25">
      <c r="A17" s="17" t="s">
        <v>96</v>
      </c>
      <c r="B17" s="21">
        <f>SUM(B13:B16)</f>
        <v>3733.33</v>
      </c>
      <c r="C17" s="21">
        <f>SUM(C13:C16)</f>
        <v>1599.9899999999998</v>
      </c>
      <c r="D17" s="15"/>
      <c r="E17" s="18"/>
      <c r="F17" s="20">
        <f t="shared" ref="F17" si="0">SUM(F12:F15)</f>
        <v>0</v>
      </c>
      <c r="G17" s="20"/>
      <c r="H17" s="15"/>
      <c r="I17" s="15"/>
    </row>
    <row r="18" spans="1:9" x14ac:dyDescent="0.25">
      <c r="A18" s="17"/>
      <c r="B18" s="21"/>
      <c r="C18" s="21"/>
      <c r="D18" s="15"/>
      <c r="E18" s="18"/>
      <c r="F18" s="20"/>
      <c r="G18" s="20"/>
      <c r="H18" s="15"/>
      <c r="I18" s="15"/>
    </row>
    <row r="19" spans="1:9" x14ac:dyDescent="0.25">
      <c r="A19" s="17" t="s">
        <v>97</v>
      </c>
      <c r="B19" s="22"/>
      <c r="C19" s="22">
        <f>C10+C17</f>
        <v>17801.656666666669</v>
      </c>
      <c r="D19" s="15"/>
      <c r="E19" s="17" t="s">
        <v>104</v>
      </c>
      <c r="F19" s="21">
        <f>F10+I10</f>
        <v>17801.656666666669</v>
      </c>
      <c r="G19" s="20"/>
      <c r="H19" s="17" t="s">
        <v>103</v>
      </c>
      <c r="I19" s="22">
        <f>I10</f>
        <v>17801.656666666669</v>
      </c>
    </row>
  </sheetData>
  <mergeCells count="3">
    <mergeCell ref="A1:I1"/>
    <mergeCell ref="B5:C5"/>
    <mergeCell ref="A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F6A47A-C8F6-8845-8E07-0C42F635DB59}">
  <dimension ref="A1:N35"/>
  <sheetViews>
    <sheetView topLeftCell="A21" zoomScale="75" zoomScaleNormal="70" workbookViewId="0">
      <selection activeCell="C40" sqref="C40"/>
    </sheetView>
  </sheetViews>
  <sheetFormatPr defaultColWidth="10.625" defaultRowHeight="15.75" x14ac:dyDescent="0.25"/>
  <cols>
    <col min="1" max="1" width="35.5" style="10" customWidth="1"/>
    <col min="2" max="2" width="11.875" style="11" customWidth="1"/>
    <col min="3" max="3" width="13" style="11" bestFit="1" customWidth="1"/>
    <col min="4" max="6" width="11.75" style="11" bestFit="1" customWidth="1"/>
    <col min="7" max="7" width="12.75" style="11" bestFit="1" customWidth="1"/>
    <col min="8" max="8" width="11.75" style="11" bestFit="1" customWidth="1"/>
    <col min="9" max="9" width="15.625" style="11" bestFit="1" customWidth="1"/>
    <col min="10" max="10" width="11.75" style="11" bestFit="1" customWidth="1"/>
    <col min="11" max="11" width="15.25" style="11" bestFit="1" customWidth="1"/>
    <col min="12" max="13" width="11.75" style="11" bestFit="1" customWidth="1"/>
    <col min="14" max="14" width="12.875" style="12" bestFit="1" customWidth="1"/>
  </cols>
  <sheetData>
    <row r="1" spans="1:14" ht="57" x14ac:dyDescent="0.9">
      <c r="A1" s="64" t="s">
        <v>82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6"/>
    </row>
    <row r="2" spans="1:14" s="14" customFormat="1" ht="36.75" customHeight="1" x14ac:dyDescent="0.9">
      <c r="A2" s="24"/>
      <c r="B2" s="20" t="s">
        <v>77</v>
      </c>
      <c r="C2" s="20" t="s">
        <v>76</v>
      </c>
      <c r="D2" s="20"/>
      <c r="E2" s="20"/>
      <c r="F2" s="20"/>
      <c r="G2" s="20" t="s">
        <v>113</v>
      </c>
      <c r="H2" s="20"/>
      <c r="I2" s="20" t="s">
        <v>81</v>
      </c>
      <c r="J2" s="20"/>
      <c r="K2" s="20" t="s">
        <v>80</v>
      </c>
      <c r="L2" s="20" t="s">
        <v>79</v>
      </c>
      <c r="M2" s="20" t="s">
        <v>78</v>
      </c>
      <c r="N2" s="25"/>
    </row>
    <row r="3" spans="1:14" s="1" customFormat="1" x14ac:dyDescent="0.25">
      <c r="A3" s="27" t="s">
        <v>0</v>
      </c>
      <c r="B3" s="28" t="s">
        <v>64</v>
      </c>
      <c r="C3" s="28" t="s">
        <v>65</v>
      </c>
      <c r="D3" s="28" t="s">
        <v>66</v>
      </c>
      <c r="E3" s="28" t="s">
        <v>67</v>
      </c>
      <c r="F3" s="28" t="s">
        <v>68</v>
      </c>
      <c r="G3" s="28" t="s">
        <v>69</v>
      </c>
      <c r="H3" s="28" t="s">
        <v>70</v>
      </c>
      <c r="I3" s="28" t="s">
        <v>71</v>
      </c>
      <c r="J3" s="28" t="s">
        <v>72</v>
      </c>
      <c r="K3" s="28" t="s">
        <v>73</v>
      </c>
      <c r="L3" s="28" t="s">
        <v>74</v>
      </c>
      <c r="M3" s="28" t="s">
        <v>75</v>
      </c>
      <c r="N3" s="28"/>
    </row>
    <row r="4" spans="1:14" s="1" customFormat="1" x14ac:dyDescent="0.25">
      <c r="A4" s="27"/>
      <c r="B4" s="28" t="s">
        <v>4</v>
      </c>
      <c r="C4" s="28" t="s">
        <v>5</v>
      </c>
      <c r="D4" s="28" t="s">
        <v>6</v>
      </c>
      <c r="E4" s="28" t="s">
        <v>7</v>
      </c>
      <c r="F4" s="28" t="s">
        <v>8</v>
      </c>
      <c r="G4" s="28" t="s">
        <v>9</v>
      </c>
      <c r="H4" s="28" t="s">
        <v>10</v>
      </c>
      <c r="I4" s="28" t="s">
        <v>11</v>
      </c>
      <c r="J4" s="28" t="s">
        <v>12</v>
      </c>
      <c r="K4" s="28" t="s">
        <v>13</v>
      </c>
      <c r="L4" s="28" t="s">
        <v>14</v>
      </c>
      <c r="M4" s="28" t="s">
        <v>15</v>
      </c>
      <c r="N4" s="28" t="s">
        <v>16</v>
      </c>
    </row>
    <row r="5" spans="1:14" x14ac:dyDescent="0.25">
      <c r="A5" s="26" t="s">
        <v>3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</row>
    <row r="6" spans="1:14" x14ac:dyDescent="0.25">
      <c r="A6" s="15" t="s">
        <v>56</v>
      </c>
      <c r="B6" s="20">
        <f>230*5</f>
        <v>1150</v>
      </c>
      <c r="C6" s="20">
        <f t="shared" ref="C6:M6" si="0">230*10</f>
        <v>2300</v>
      </c>
      <c r="D6" s="20">
        <f>230*5</f>
        <v>1150</v>
      </c>
      <c r="E6" s="20">
        <f>230*5</f>
        <v>1150</v>
      </c>
      <c r="F6" s="20">
        <f t="shared" ref="F6:H6" si="1">230*5</f>
        <v>1150</v>
      </c>
      <c r="G6" s="20">
        <f>230*10</f>
        <v>2300</v>
      </c>
      <c r="H6" s="20">
        <f t="shared" si="1"/>
        <v>1150</v>
      </c>
      <c r="I6" s="20">
        <f>230*10</f>
        <v>2300</v>
      </c>
      <c r="J6" s="20">
        <f>230*10</f>
        <v>2300</v>
      </c>
      <c r="K6" s="20">
        <f t="shared" si="0"/>
        <v>2300</v>
      </c>
      <c r="L6" s="20">
        <f t="shared" si="0"/>
        <v>2300</v>
      </c>
      <c r="M6" s="20">
        <f t="shared" si="0"/>
        <v>2300</v>
      </c>
      <c r="N6" s="20">
        <f>SUM(B6:M6)</f>
        <v>21850</v>
      </c>
    </row>
    <row r="7" spans="1:14" x14ac:dyDescent="0.25">
      <c r="A7" s="15" t="s">
        <v>57</v>
      </c>
      <c r="B7" s="20">
        <f>270*5</f>
        <v>1350</v>
      </c>
      <c r="C7" s="20">
        <f t="shared" ref="C7:M7" si="2">270*10</f>
        <v>2700</v>
      </c>
      <c r="D7" s="20">
        <f>270*5</f>
        <v>1350</v>
      </c>
      <c r="E7" s="20">
        <f>270*5</f>
        <v>1350</v>
      </c>
      <c r="F7" s="20">
        <f t="shared" ref="F7:H7" si="3">270*5</f>
        <v>1350</v>
      </c>
      <c r="G7" s="20">
        <f>270*10</f>
        <v>2700</v>
      </c>
      <c r="H7" s="20">
        <f t="shared" si="3"/>
        <v>1350</v>
      </c>
      <c r="I7" s="20">
        <f>270*10</f>
        <v>2700</v>
      </c>
      <c r="J7" s="20">
        <f>270*5</f>
        <v>1350</v>
      </c>
      <c r="K7" s="20">
        <f t="shared" si="2"/>
        <v>2700</v>
      </c>
      <c r="L7" s="20">
        <f t="shared" si="2"/>
        <v>2700</v>
      </c>
      <c r="M7" s="20">
        <f t="shared" si="2"/>
        <v>2700</v>
      </c>
      <c r="N7" s="20">
        <f t="shared" ref="N7:N24" si="4">SUM(B7:M7)</f>
        <v>24300</v>
      </c>
    </row>
    <row r="8" spans="1:14" x14ac:dyDescent="0.25">
      <c r="A8" s="15" t="s">
        <v>58</v>
      </c>
      <c r="B8" s="20">
        <v>0</v>
      </c>
      <c r="C8" s="20">
        <v>0</v>
      </c>
      <c r="D8" s="20">
        <v>0</v>
      </c>
      <c r="E8" s="20">
        <v>0</v>
      </c>
      <c r="F8" s="20">
        <v>0</v>
      </c>
      <c r="G8" s="20">
        <v>0</v>
      </c>
      <c r="H8" s="20">
        <v>0</v>
      </c>
      <c r="I8" s="20">
        <f>220*5</f>
        <v>1100</v>
      </c>
      <c r="J8" s="20">
        <f t="shared" ref="J8:M8" si="5">220*5</f>
        <v>1100</v>
      </c>
      <c r="K8" s="20">
        <f>220*6</f>
        <v>1320</v>
      </c>
      <c r="L8" s="20">
        <f>220*5</f>
        <v>1100</v>
      </c>
      <c r="M8" s="20">
        <f t="shared" si="5"/>
        <v>1100</v>
      </c>
      <c r="N8" s="20">
        <f t="shared" si="4"/>
        <v>5720</v>
      </c>
    </row>
    <row r="9" spans="1:14" x14ac:dyDescent="0.25">
      <c r="A9" s="15" t="s">
        <v>55</v>
      </c>
      <c r="B9" s="20">
        <v>0</v>
      </c>
      <c r="C9" s="20">
        <v>0</v>
      </c>
      <c r="D9" s="20">
        <v>0</v>
      </c>
      <c r="E9" s="20">
        <v>0</v>
      </c>
      <c r="F9" s="20">
        <v>0</v>
      </c>
      <c r="G9" s="20">
        <v>0</v>
      </c>
      <c r="H9" s="20">
        <v>0</v>
      </c>
      <c r="I9" s="20">
        <v>0</v>
      </c>
      <c r="J9" s="20">
        <v>0</v>
      </c>
      <c r="K9" s="20">
        <v>0</v>
      </c>
      <c r="L9" s="20">
        <v>0</v>
      </c>
      <c r="M9" s="20">
        <v>0</v>
      </c>
      <c r="N9" s="20">
        <f t="shared" si="4"/>
        <v>0</v>
      </c>
    </row>
    <row r="10" spans="1:14" s="1" customFormat="1" x14ac:dyDescent="0.25">
      <c r="A10" s="29" t="s">
        <v>27</v>
      </c>
      <c r="B10" s="30">
        <f>SUM(B6:B9)</f>
        <v>2500</v>
      </c>
      <c r="C10" s="30">
        <f t="shared" ref="C10:M10" si="6">SUM(C5:C9)</f>
        <v>5000</v>
      </c>
      <c r="D10" s="30">
        <f t="shared" si="6"/>
        <v>2500</v>
      </c>
      <c r="E10" s="30">
        <f t="shared" si="6"/>
        <v>2500</v>
      </c>
      <c r="F10" s="30">
        <f t="shared" si="6"/>
        <v>2500</v>
      </c>
      <c r="G10" s="30">
        <f t="shared" si="6"/>
        <v>5000</v>
      </c>
      <c r="H10" s="30">
        <f t="shared" si="6"/>
        <v>2500</v>
      </c>
      <c r="I10" s="30">
        <f t="shared" si="6"/>
        <v>6100</v>
      </c>
      <c r="J10" s="30">
        <f t="shared" si="6"/>
        <v>4750</v>
      </c>
      <c r="K10" s="30">
        <f t="shared" si="6"/>
        <v>6320</v>
      </c>
      <c r="L10" s="30">
        <f t="shared" si="6"/>
        <v>6100</v>
      </c>
      <c r="M10" s="30">
        <f t="shared" si="6"/>
        <v>6100</v>
      </c>
      <c r="N10" s="30">
        <f t="shared" si="4"/>
        <v>51870</v>
      </c>
    </row>
    <row r="11" spans="1:14" x14ac:dyDescent="0.25">
      <c r="A11" s="26"/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>
        <f t="shared" si="4"/>
        <v>0</v>
      </c>
    </row>
    <row r="12" spans="1:14" s="1" customFormat="1" x14ac:dyDescent="0.25">
      <c r="A12" s="29" t="s">
        <v>25</v>
      </c>
      <c r="B12" s="30">
        <f>(5*$F$32)+(5*$F$33+0*$F$34)+0*$F$35</f>
        <v>1025</v>
      </c>
      <c r="C12" s="30">
        <f>(10*$F$32)+(10*$F$33+0*$F$34)+0*$F$35</f>
        <v>2050</v>
      </c>
      <c r="D12" s="30">
        <f>(5*$F$32)+(5*$F$33+0*$F$34)+0*$F$35</f>
        <v>1025</v>
      </c>
      <c r="E12" s="30">
        <f>(5*$F$32)+(5*$F$33+0*$F$34)+0*$F$35</f>
        <v>1025</v>
      </c>
      <c r="F12" s="30">
        <f>(5*$F$32)+(5*$F$33+0*$F$34)+0*$F$35</f>
        <v>1025</v>
      </c>
      <c r="G12" s="30">
        <f>(10*$F$32)+(10*$F$33+0*$F$34)+0*$F$35</f>
        <v>2050</v>
      </c>
      <c r="H12" s="30">
        <f>(5*$F$32)+(5*$F$33+0*$F$34)+0*$F$35</f>
        <v>1025</v>
      </c>
      <c r="I12" s="30">
        <f>(10*$F$32)+(10*$F$33+5*$F$34)+0*$F$35</f>
        <v>2650</v>
      </c>
      <c r="J12" s="30">
        <f>(10*$F$32)+(5*$F$33+0*$F$34)+0*$F$35</f>
        <v>1575</v>
      </c>
      <c r="K12" s="30">
        <f>(10*$F$32)+(10*$F$33+6*$F$34)+0*$F$35</f>
        <v>2770</v>
      </c>
      <c r="L12" s="30">
        <f>(10*$F$32)+(10*$F$33+5*$F$34)+0*$F$35</f>
        <v>2650</v>
      </c>
      <c r="M12" s="30">
        <f>(10*$F$32)+(10*$F$33+5*$F$34)+0*$F$35</f>
        <v>2650</v>
      </c>
      <c r="N12" s="30">
        <f t="shared" si="4"/>
        <v>21520</v>
      </c>
    </row>
    <row r="13" spans="1:14" x14ac:dyDescent="0.25">
      <c r="A13" s="15"/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</row>
    <row r="14" spans="1:14" s="1" customFormat="1" x14ac:dyDescent="0.25">
      <c r="A14" s="29" t="s">
        <v>29</v>
      </c>
      <c r="B14" s="30">
        <f>B10-B12</f>
        <v>1475</v>
      </c>
      <c r="C14" s="30">
        <f t="shared" ref="C14:M14" si="7">C10-C12</f>
        <v>2950</v>
      </c>
      <c r="D14" s="30">
        <f t="shared" si="7"/>
        <v>1475</v>
      </c>
      <c r="E14" s="30">
        <f t="shared" si="7"/>
        <v>1475</v>
      </c>
      <c r="F14" s="30">
        <f t="shared" si="7"/>
        <v>1475</v>
      </c>
      <c r="G14" s="30">
        <f t="shared" si="7"/>
        <v>2950</v>
      </c>
      <c r="H14" s="30">
        <f t="shared" si="7"/>
        <v>1475</v>
      </c>
      <c r="I14" s="30">
        <f t="shared" si="7"/>
        <v>3450</v>
      </c>
      <c r="J14" s="30">
        <f t="shared" si="7"/>
        <v>3175</v>
      </c>
      <c r="K14" s="30">
        <f t="shared" si="7"/>
        <v>3550</v>
      </c>
      <c r="L14" s="30">
        <f t="shared" si="7"/>
        <v>3450</v>
      </c>
      <c r="M14" s="30">
        <f t="shared" si="7"/>
        <v>3450</v>
      </c>
      <c r="N14" s="30">
        <f t="shared" si="4"/>
        <v>30350</v>
      </c>
    </row>
    <row r="15" spans="1:14" x14ac:dyDescent="0.25">
      <c r="A15" s="15"/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</row>
    <row r="16" spans="1:14" x14ac:dyDescent="0.25">
      <c r="A16" s="26" t="s">
        <v>28</v>
      </c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</row>
    <row r="17" spans="1:14" x14ac:dyDescent="0.25">
      <c r="A17" s="15" t="s">
        <v>21</v>
      </c>
      <c r="B17" s="20">
        <f>20*10*2</f>
        <v>400</v>
      </c>
      <c r="C17" s="20">
        <f>20*20*2</f>
        <v>800</v>
      </c>
      <c r="D17" s="20">
        <f t="shared" ref="D17:F17" si="8">20*10*2</f>
        <v>400</v>
      </c>
      <c r="E17" s="20">
        <f t="shared" si="8"/>
        <v>400</v>
      </c>
      <c r="F17" s="20">
        <f t="shared" si="8"/>
        <v>400</v>
      </c>
      <c r="G17" s="20">
        <f>20*20*2</f>
        <v>800</v>
      </c>
      <c r="H17" s="20">
        <f>20*10*2</f>
        <v>400</v>
      </c>
      <c r="I17" s="20">
        <f>20*25*2</f>
        <v>1000</v>
      </c>
      <c r="J17" s="20">
        <f>20*15*2</f>
        <v>600</v>
      </c>
      <c r="K17" s="20">
        <f>20*26*2</f>
        <v>1040</v>
      </c>
      <c r="L17" s="20">
        <f>20*25*2</f>
        <v>1000</v>
      </c>
      <c r="M17" s="20">
        <f>20*25*2</f>
        <v>1000</v>
      </c>
      <c r="N17" s="20">
        <f t="shared" si="4"/>
        <v>8240</v>
      </c>
    </row>
    <row r="18" spans="1:14" x14ac:dyDescent="0.25">
      <c r="A18" s="15" t="s">
        <v>22</v>
      </c>
      <c r="B18" s="20">
        <f>500/12</f>
        <v>41.666666666666664</v>
      </c>
      <c r="C18" s="20">
        <f t="shared" ref="C18:M18" si="9">500/12</f>
        <v>41.666666666666664</v>
      </c>
      <c r="D18" s="20">
        <f t="shared" si="9"/>
        <v>41.666666666666664</v>
      </c>
      <c r="E18" s="20">
        <f t="shared" si="9"/>
        <v>41.666666666666664</v>
      </c>
      <c r="F18" s="20">
        <f t="shared" si="9"/>
        <v>41.666666666666664</v>
      </c>
      <c r="G18" s="20">
        <f t="shared" si="9"/>
        <v>41.666666666666664</v>
      </c>
      <c r="H18" s="20">
        <f t="shared" si="9"/>
        <v>41.666666666666664</v>
      </c>
      <c r="I18" s="20">
        <f t="shared" si="9"/>
        <v>41.666666666666664</v>
      </c>
      <c r="J18" s="20">
        <f t="shared" si="9"/>
        <v>41.666666666666664</v>
      </c>
      <c r="K18" s="20">
        <f t="shared" si="9"/>
        <v>41.666666666666664</v>
      </c>
      <c r="L18" s="20">
        <f t="shared" si="9"/>
        <v>41.666666666666664</v>
      </c>
      <c r="M18" s="20">
        <f t="shared" si="9"/>
        <v>41.666666666666664</v>
      </c>
      <c r="N18" s="20">
        <f t="shared" si="4"/>
        <v>500.00000000000006</v>
      </c>
    </row>
    <row r="19" spans="1:14" x14ac:dyDescent="0.25">
      <c r="A19" s="15" t="s">
        <v>23</v>
      </c>
      <c r="B19" s="20">
        <f>100/3</f>
        <v>33.333333333333336</v>
      </c>
      <c r="C19" s="20">
        <f t="shared" ref="C19:M19" si="10">100/3</f>
        <v>33.333333333333336</v>
      </c>
      <c r="D19" s="20">
        <f t="shared" si="10"/>
        <v>33.333333333333336</v>
      </c>
      <c r="E19" s="20">
        <f t="shared" si="10"/>
        <v>33.333333333333336</v>
      </c>
      <c r="F19" s="20">
        <f t="shared" si="10"/>
        <v>33.333333333333336</v>
      </c>
      <c r="G19" s="20">
        <f t="shared" si="10"/>
        <v>33.333333333333336</v>
      </c>
      <c r="H19" s="20">
        <f t="shared" si="10"/>
        <v>33.333333333333336</v>
      </c>
      <c r="I19" s="20">
        <f t="shared" si="10"/>
        <v>33.333333333333336</v>
      </c>
      <c r="J19" s="20">
        <f t="shared" si="10"/>
        <v>33.333333333333336</v>
      </c>
      <c r="K19" s="20">
        <f t="shared" si="10"/>
        <v>33.333333333333336</v>
      </c>
      <c r="L19" s="20">
        <f t="shared" si="10"/>
        <v>33.333333333333336</v>
      </c>
      <c r="M19" s="20">
        <f t="shared" si="10"/>
        <v>33.333333333333336</v>
      </c>
      <c r="N19" s="20">
        <f t="shared" si="4"/>
        <v>399.99999999999994</v>
      </c>
    </row>
    <row r="20" spans="1:14" x14ac:dyDescent="0.25">
      <c r="A20" s="15" t="s">
        <v>62</v>
      </c>
      <c r="B20" s="20">
        <v>35</v>
      </c>
      <c r="C20" s="20">
        <v>90</v>
      </c>
      <c r="D20" s="20">
        <v>35</v>
      </c>
      <c r="E20" s="20">
        <v>35</v>
      </c>
      <c r="F20" s="20">
        <v>35</v>
      </c>
      <c r="G20" s="20">
        <v>50</v>
      </c>
      <c r="H20" s="20">
        <v>50</v>
      </c>
      <c r="I20" s="20">
        <v>100</v>
      </c>
      <c r="J20" s="20">
        <v>35</v>
      </c>
      <c r="K20" s="20">
        <v>50</v>
      </c>
      <c r="L20" s="20">
        <v>50</v>
      </c>
      <c r="M20" s="20">
        <v>100</v>
      </c>
      <c r="N20" s="20">
        <f t="shared" si="4"/>
        <v>665</v>
      </c>
    </row>
    <row r="21" spans="1:14" s="1" customFormat="1" x14ac:dyDescent="0.25">
      <c r="A21" s="31" t="s">
        <v>63</v>
      </c>
      <c r="B21" s="32">
        <f t="shared" ref="B21:M21" si="11">SUM(B17:B20)</f>
        <v>510</v>
      </c>
      <c r="C21" s="32">
        <f t="shared" si="11"/>
        <v>965</v>
      </c>
      <c r="D21" s="32">
        <f t="shared" si="11"/>
        <v>510</v>
      </c>
      <c r="E21" s="32">
        <f t="shared" si="11"/>
        <v>510</v>
      </c>
      <c r="F21" s="32">
        <f t="shared" si="11"/>
        <v>510</v>
      </c>
      <c r="G21" s="32">
        <f t="shared" si="11"/>
        <v>925</v>
      </c>
      <c r="H21" s="32">
        <f t="shared" si="11"/>
        <v>525</v>
      </c>
      <c r="I21" s="32">
        <f t="shared" si="11"/>
        <v>1175</v>
      </c>
      <c r="J21" s="32">
        <f t="shared" si="11"/>
        <v>710</v>
      </c>
      <c r="K21" s="32">
        <f t="shared" si="11"/>
        <v>1165</v>
      </c>
      <c r="L21" s="32">
        <f t="shared" si="11"/>
        <v>1125</v>
      </c>
      <c r="M21" s="32">
        <f t="shared" si="11"/>
        <v>1175</v>
      </c>
      <c r="N21" s="32">
        <f>SUM(B21:M21)</f>
        <v>9805</v>
      </c>
    </row>
    <row r="22" spans="1:14" x14ac:dyDescent="0.25">
      <c r="A22" s="26"/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>
        <f t="shared" si="4"/>
        <v>0</v>
      </c>
    </row>
    <row r="23" spans="1:14" s="1" customFormat="1" x14ac:dyDescent="0.25">
      <c r="A23" s="31" t="s">
        <v>26</v>
      </c>
      <c r="B23" s="32">
        <f t="shared" ref="B23:M23" si="12">B14-B21</f>
        <v>965</v>
      </c>
      <c r="C23" s="32">
        <f t="shared" si="12"/>
        <v>1985</v>
      </c>
      <c r="D23" s="32">
        <f t="shared" si="12"/>
        <v>965</v>
      </c>
      <c r="E23" s="32">
        <f t="shared" si="12"/>
        <v>965</v>
      </c>
      <c r="F23" s="32">
        <f t="shared" si="12"/>
        <v>965</v>
      </c>
      <c r="G23" s="32">
        <f t="shared" si="12"/>
        <v>2025</v>
      </c>
      <c r="H23" s="32">
        <f t="shared" si="12"/>
        <v>950</v>
      </c>
      <c r="I23" s="32">
        <f t="shared" si="12"/>
        <v>2275</v>
      </c>
      <c r="J23" s="32">
        <f t="shared" si="12"/>
        <v>2465</v>
      </c>
      <c r="K23" s="32">
        <f t="shared" si="12"/>
        <v>2385</v>
      </c>
      <c r="L23" s="32">
        <f t="shared" si="12"/>
        <v>2325</v>
      </c>
      <c r="M23" s="32">
        <f t="shared" si="12"/>
        <v>2275</v>
      </c>
      <c r="N23" s="32">
        <f>SUM(B23:M23)</f>
        <v>20545</v>
      </c>
    </row>
    <row r="24" spans="1:14" x14ac:dyDescent="0.25">
      <c r="A24" s="15" t="s">
        <v>108</v>
      </c>
      <c r="B24" s="20">
        <f>B23*12%</f>
        <v>115.8</v>
      </c>
      <c r="C24" s="20">
        <f t="shared" ref="C24:M24" si="13">C23*12%</f>
        <v>238.2</v>
      </c>
      <c r="D24" s="20">
        <f t="shared" si="13"/>
        <v>115.8</v>
      </c>
      <c r="E24" s="20">
        <f t="shared" si="13"/>
        <v>115.8</v>
      </c>
      <c r="F24" s="20">
        <f t="shared" si="13"/>
        <v>115.8</v>
      </c>
      <c r="G24" s="20">
        <f t="shared" si="13"/>
        <v>243</v>
      </c>
      <c r="H24" s="20">
        <f t="shared" si="13"/>
        <v>114</v>
      </c>
      <c r="I24" s="20">
        <f t="shared" si="13"/>
        <v>273</v>
      </c>
      <c r="J24" s="20">
        <f t="shared" si="13"/>
        <v>295.8</v>
      </c>
      <c r="K24" s="20">
        <f t="shared" si="13"/>
        <v>286.2</v>
      </c>
      <c r="L24" s="20">
        <f t="shared" si="13"/>
        <v>279</v>
      </c>
      <c r="M24" s="20">
        <f t="shared" si="13"/>
        <v>273</v>
      </c>
      <c r="N24" s="20">
        <f t="shared" si="4"/>
        <v>2465.4</v>
      </c>
    </row>
    <row r="25" spans="1:14" s="1" customFormat="1" x14ac:dyDescent="0.25">
      <c r="A25" s="31" t="s">
        <v>24</v>
      </c>
      <c r="B25" s="32">
        <f>B23-B24</f>
        <v>849.2</v>
      </c>
      <c r="C25" s="32">
        <f t="shared" ref="C25:L25" si="14">C23-C24</f>
        <v>1746.8</v>
      </c>
      <c r="D25" s="32">
        <f t="shared" si="14"/>
        <v>849.2</v>
      </c>
      <c r="E25" s="32">
        <f t="shared" si="14"/>
        <v>849.2</v>
      </c>
      <c r="F25" s="32">
        <f t="shared" si="14"/>
        <v>849.2</v>
      </c>
      <c r="G25" s="32">
        <f t="shared" si="14"/>
        <v>1782</v>
      </c>
      <c r="H25" s="32">
        <f t="shared" si="14"/>
        <v>836</v>
      </c>
      <c r="I25" s="32">
        <f t="shared" si="14"/>
        <v>2002</v>
      </c>
      <c r="J25" s="32">
        <f t="shared" si="14"/>
        <v>2169.1999999999998</v>
      </c>
      <c r="K25" s="32">
        <f t="shared" si="14"/>
        <v>2098.8000000000002</v>
      </c>
      <c r="L25" s="32">
        <f t="shared" si="14"/>
        <v>2046</v>
      </c>
      <c r="M25" s="32">
        <f>M23-M24</f>
        <v>2002</v>
      </c>
      <c r="N25" s="32">
        <f>N23-N24</f>
        <v>18079.599999999999</v>
      </c>
    </row>
    <row r="26" spans="1:14" x14ac:dyDescent="0.25">
      <c r="A26" s="15"/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</row>
    <row r="27" spans="1:14" x14ac:dyDescent="0.25">
      <c r="A27" s="33" t="s">
        <v>107</v>
      </c>
      <c r="B27" s="34">
        <f t="shared" ref="B27:M27" si="15">B25/B10</f>
        <v>0.33968000000000004</v>
      </c>
      <c r="C27" s="34">
        <f t="shared" si="15"/>
        <v>0.34936</v>
      </c>
      <c r="D27" s="34">
        <f t="shared" si="15"/>
        <v>0.33968000000000004</v>
      </c>
      <c r="E27" s="34">
        <f t="shared" si="15"/>
        <v>0.33968000000000004</v>
      </c>
      <c r="F27" s="34">
        <f t="shared" si="15"/>
        <v>0.33968000000000004</v>
      </c>
      <c r="G27" s="34">
        <f t="shared" si="15"/>
        <v>0.35639999999999999</v>
      </c>
      <c r="H27" s="34">
        <f t="shared" si="15"/>
        <v>0.33439999999999998</v>
      </c>
      <c r="I27" s="34">
        <f t="shared" si="15"/>
        <v>0.32819672131147543</v>
      </c>
      <c r="J27" s="34">
        <f t="shared" si="15"/>
        <v>0.45667368421052629</v>
      </c>
      <c r="K27" s="34">
        <f t="shared" si="15"/>
        <v>0.33208860759493675</v>
      </c>
      <c r="L27" s="34">
        <f t="shared" si="15"/>
        <v>0.33540983606557379</v>
      </c>
      <c r="M27" s="34">
        <f t="shared" si="15"/>
        <v>0.32819672131147543</v>
      </c>
      <c r="N27" s="34">
        <f>N25/N10</f>
        <v>0.34855600539811066</v>
      </c>
    </row>
    <row r="32" spans="1:14" x14ac:dyDescent="0.25">
      <c r="D32" s="11" t="s">
        <v>25</v>
      </c>
      <c r="E32" s="11" t="s">
        <v>59</v>
      </c>
      <c r="F32" s="11">
        <v>110</v>
      </c>
    </row>
    <row r="33" spans="5:6" x14ac:dyDescent="0.25">
      <c r="E33" s="11" t="s">
        <v>60</v>
      </c>
      <c r="F33" s="11">
        <v>95</v>
      </c>
    </row>
    <row r="34" spans="5:6" x14ac:dyDescent="0.25">
      <c r="E34" s="11" t="s">
        <v>61</v>
      </c>
      <c r="F34" s="11">
        <v>120</v>
      </c>
    </row>
    <row r="35" spans="5:6" x14ac:dyDescent="0.25">
      <c r="E35" s="11" t="s">
        <v>85</v>
      </c>
      <c r="F35" s="11">
        <v>50</v>
      </c>
    </row>
  </sheetData>
  <mergeCells count="1">
    <mergeCell ref="A1:N1"/>
  </mergeCells>
  <phoneticPr fontId="2" type="noConversion"/>
  <pageMargins left="0.7" right="0.7" top="0.75" bottom="0.75" header="0.3" footer="0.3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BAEB5D-8D8F-4324-A039-1C7FB30B5AD5}">
  <dimension ref="A1:N36"/>
  <sheetViews>
    <sheetView topLeftCell="A27" zoomScale="75" zoomScaleNormal="70" workbookViewId="0">
      <selection activeCell="B42" sqref="B42"/>
    </sheetView>
  </sheetViews>
  <sheetFormatPr defaultColWidth="10.625" defaultRowHeight="15.75" x14ac:dyDescent="0.25"/>
  <cols>
    <col min="1" max="1" width="31.875" style="10" customWidth="1"/>
    <col min="2" max="2" width="11.375" style="11" customWidth="1"/>
    <col min="3" max="3" width="13" style="11" bestFit="1" customWidth="1"/>
    <col min="4" max="6" width="11.75" style="11" bestFit="1" customWidth="1"/>
    <col min="7" max="7" width="12.75" style="11" bestFit="1" customWidth="1"/>
    <col min="8" max="8" width="11.75" style="11" bestFit="1" customWidth="1"/>
    <col min="9" max="9" width="15.625" style="11" bestFit="1" customWidth="1"/>
    <col min="10" max="10" width="11.75" style="11" bestFit="1" customWidth="1"/>
    <col min="11" max="11" width="15.25" style="11" bestFit="1" customWidth="1"/>
    <col min="12" max="13" width="11.75" style="11" bestFit="1" customWidth="1"/>
    <col min="14" max="14" width="12.875" style="12" bestFit="1" customWidth="1"/>
  </cols>
  <sheetData>
    <row r="1" spans="1:14" ht="57" x14ac:dyDescent="0.9">
      <c r="A1" s="67" t="s">
        <v>82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</row>
    <row r="2" spans="1:14" s="14" customFormat="1" ht="36.75" customHeight="1" x14ac:dyDescent="0.9">
      <c r="A2" s="24"/>
      <c r="B2" s="20" t="s">
        <v>77</v>
      </c>
      <c r="C2" s="20" t="s">
        <v>76</v>
      </c>
      <c r="D2" s="20"/>
      <c r="E2" s="20"/>
      <c r="F2" s="20"/>
      <c r="G2" s="20" t="s">
        <v>113</v>
      </c>
      <c r="H2" s="20"/>
      <c r="I2" s="20" t="s">
        <v>81</v>
      </c>
      <c r="J2" s="20"/>
      <c r="K2" s="20" t="s">
        <v>80</v>
      </c>
      <c r="L2" s="20" t="s">
        <v>79</v>
      </c>
      <c r="M2" s="20" t="s">
        <v>78</v>
      </c>
      <c r="N2" s="25"/>
    </row>
    <row r="3" spans="1:14" s="1" customFormat="1" x14ac:dyDescent="0.25">
      <c r="A3" s="27" t="s">
        <v>0</v>
      </c>
      <c r="B3" s="28" t="s">
        <v>64</v>
      </c>
      <c r="C3" s="28" t="s">
        <v>65</v>
      </c>
      <c r="D3" s="28" t="s">
        <v>66</v>
      </c>
      <c r="E3" s="28" t="s">
        <v>67</v>
      </c>
      <c r="F3" s="28" t="s">
        <v>68</v>
      </c>
      <c r="G3" s="28" t="s">
        <v>69</v>
      </c>
      <c r="H3" s="28" t="s">
        <v>70</v>
      </c>
      <c r="I3" s="28" t="s">
        <v>71</v>
      </c>
      <c r="J3" s="28" t="s">
        <v>72</v>
      </c>
      <c r="K3" s="28" t="s">
        <v>73</v>
      </c>
      <c r="L3" s="28" t="s">
        <v>74</v>
      </c>
      <c r="M3" s="28" t="s">
        <v>75</v>
      </c>
      <c r="N3" s="28"/>
    </row>
    <row r="4" spans="1:14" s="1" customFormat="1" x14ac:dyDescent="0.25">
      <c r="A4" s="27"/>
      <c r="B4" s="28" t="s">
        <v>4</v>
      </c>
      <c r="C4" s="28" t="s">
        <v>5</v>
      </c>
      <c r="D4" s="28" t="s">
        <v>6</v>
      </c>
      <c r="E4" s="28" t="s">
        <v>7</v>
      </c>
      <c r="F4" s="28" t="s">
        <v>8</v>
      </c>
      <c r="G4" s="28" t="s">
        <v>9</v>
      </c>
      <c r="H4" s="28" t="s">
        <v>10</v>
      </c>
      <c r="I4" s="28" t="s">
        <v>11</v>
      </c>
      <c r="J4" s="28" t="s">
        <v>12</v>
      </c>
      <c r="K4" s="28" t="s">
        <v>13</v>
      </c>
      <c r="L4" s="28" t="s">
        <v>14</v>
      </c>
      <c r="M4" s="28" t="s">
        <v>15</v>
      </c>
      <c r="N4" s="28" t="s">
        <v>16</v>
      </c>
    </row>
    <row r="5" spans="1:14" x14ac:dyDescent="0.25">
      <c r="A5" s="26" t="s">
        <v>3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</row>
    <row r="6" spans="1:14" x14ac:dyDescent="0.25">
      <c r="A6" s="15" t="s">
        <v>56</v>
      </c>
      <c r="B6" s="20">
        <f>230*10</f>
        <v>2300</v>
      </c>
      <c r="C6" s="20">
        <f t="shared" ref="C6:L6" si="0">230*10</f>
        <v>2300</v>
      </c>
      <c r="D6" s="20">
        <f>230*5</f>
        <v>1150</v>
      </c>
      <c r="E6" s="20">
        <f>230*5</f>
        <v>1150</v>
      </c>
      <c r="F6" s="20">
        <f t="shared" ref="F6:H6" si="1">230*5</f>
        <v>1150</v>
      </c>
      <c r="G6" s="20">
        <f>230*10</f>
        <v>2300</v>
      </c>
      <c r="H6" s="20">
        <f t="shared" si="1"/>
        <v>1150</v>
      </c>
      <c r="I6" s="20">
        <f>230*10</f>
        <v>2300</v>
      </c>
      <c r="J6" s="20">
        <f>230*10</f>
        <v>2300</v>
      </c>
      <c r="K6" s="20">
        <f>230*15</f>
        <v>3450</v>
      </c>
      <c r="L6" s="20">
        <f t="shared" si="0"/>
        <v>2300</v>
      </c>
      <c r="M6" s="20">
        <f>230*15</f>
        <v>3450</v>
      </c>
      <c r="N6" s="20">
        <f>SUM(B6:M6)</f>
        <v>25300</v>
      </c>
    </row>
    <row r="7" spans="1:14" x14ac:dyDescent="0.25">
      <c r="A7" s="15" t="s">
        <v>57</v>
      </c>
      <c r="B7" s="20">
        <f>270*10</f>
        <v>2700</v>
      </c>
      <c r="C7" s="20">
        <f t="shared" ref="C7:L7" si="2">270*10</f>
        <v>2700</v>
      </c>
      <c r="D7" s="20">
        <f>270*5</f>
        <v>1350</v>
      </c>
      <c r="E7" s="20">
        <f>270*5</f>
        <v>1350</v>
      </c>
      <c r="F7" s="20">
        <f t="shared" ref="F7:H7" si="3">270*5</f>
        <v>1350</v>
      </c>
      <c r="G7" s="20">
        <f>270*10</f>
        <v>2700</v>
      </c>
      <c r="H7" s="20">
        <f t="shared" si="3"/>
        <v>1350</v>
      </c>
      <c r="I7" s="20">
        <f>270*10</f>
        <v>2700</v>
      </c>
      <c r="J7" s="20">
        <f>270*5</f>
        <v>1350</v>
      </c>
      <c r="K7" s="20">
        <f t="shared" si="2"/>
        <v>2700</v>
      </c>
      <c r="L7" s="20">
        <f t="shared" si="2"/>
        <v>2700</v>
      </c>
      <c r="M7" s="20">
        <f>270*15</f>
        <v>4050</v>
      </c>
      <c r="N7" s="20">
        <f t="shared" ref="N7:N23" si="4">SUM(B7:M7)</f>
        <v>27000</v>
      </c>
    </row>
    <row r="8" spans="1:14" x14ac:dyDescent="0.25">
      <c r="A8" s="15" t="s">
        <v>58</v>
      </c>
      <c r="B8" s="20">
        <f>220*5</f>
        <v>1100</v>
      </c>
      <c r="C8" s="20">
        <f t="shared" ref="C8:H8" si="5">220*5</f>
        <v>1100</v>
      </c>
      <c r="D8" s="20">
        <f t="shared" si="5"/>
        <v>1100</v>
      </c>
      <c r="E8" s="20">
        <f t="shared" si="5"/>
        <v>1100</v>
      </c>
      <c r="F8" s="20">
        <f t="shared" si="5"/>
        <v>1100</v>
      </c>
      <c r="G8" s="20">
        <f>220*15</f>
        <v>3300</v>
      </c>
      <c r="H8" s="20">
        <f t="shared" si="5"/>
        <v>1100</v>
      </c>
      <c r="I8" s="20">
        <f>220*10</f>
        <v>2200</v>
      </c>
      <c r="J8" s="20">
        <f>220*5</f>
        <v>1100</v>
      </c>
      <c r="K8" s="20">
        <f t="shared" ref="K8:M8" si="6">220*10</f>
        <v>2200</v>
      </c>
      <c r="L8" s="20">
        <f t="shared" si="6"/>
        <v>2200</v>
      </c>
      <c r="M8" s="20">
        <f t="shared" si="6"/>
        <v>2200</v>
      </c>
      <c r="N8" s="20">
        <f t="shared" si="4"/>
        <v>19800</v>
      </c>
    </row>
    <row r="9" spans="1:14" x14ac:dyDescent="0.25">
      <c r="A9" s="15" t="s">
        <v>55</v>
      </c>
      <c r="B9" s="20">
        <v>0</v>
      </c>
      <c r="C9" s="20">
        <v>0</v>
      </c>
      <c r="D9" s="20">
        <v>0</v>
      </c>
      <c r="E9" s="20">
        <v>0</v>
      </c>
      <c r="F9" s="20">
        <v>0</v>
      </c>
      <c r="G9" s="20">
        <v>0</v>
      </c>
      <c r="H9" s="20">
        <v>0</v>
      </c>
      <c r="I9" s="20">
        <f t="shared" ref="I9" si="7">10*220</f>
        <v>2200</v>
      </c>
      <c r="J9" s="20">
        <f t="shared" ref="J9" si="8">5*220</f>
        <v>1100</v>
      </c>
      <c r="K9" s="20">
        <f>10*220</f>
        <v>2200</v>
      </c>
      <c r="L9" s="20">
        <f t="shared" ref="L9:M9" si="9">10*220</f>
        <v>2200</v>
      </c>
      <c r="M9" s="20">
        <f t="shared" si="9"/>
        <v>2200</v>
      </c>
      <c r="N9" s="20">
        <f t="shared" si="4"/>
        <v>9900</v>
      </c>
    </row>
    <row r="10" spans="1:14" s="1" customFormat="1" x14ac:dyDescent="0.25">
      <c r="A10" s="29" t="s">
        <v>27</v>
      </c>
      <c r="B10" s="30">
        <f>SUM(B6:B9)</f>
        <v>6100</v>
      </c>
      <c r="C10" s="30">
        <f t="shared" ref="C10:M10" si="10">SUM(C5:C9)</f>
        <v>6100</v>
      </c>
      <c r="D10" s="30">
        <f t="shared" si="10"/>
        <v>3600</v>
      </c>
      <c r="E10" s="30">
        <f t="shared" si="10"/>
        <v>3600</v>
      </c>
      <c r="F10" s="30">
        <f t="shared" si="10"/>
        <v>3600</v>
      </c>
      <c r="G10" s="30">
        <f t="shared" si="10"/>
        <v>8300</v>
      </c>
      <c r="H10" s="30">
        <f t="shared" si="10"/>
        <v>3600</v>
      </c>
      <c r="I10" s="30">
        <f t="shared" si="10"/>
        <v>9400</v>
      </c>
      <c r="J10" s="30">
        <f t="shared" si="10"/>
        <v>5850</v>
      </c>
      <c r="K10" s="30">
        <f t="shared" si="10"/>
        <v>10550</v>
      </c>
      <c r="L10" s="30">
        <f t="shared" si="10"/>
        <v>9400</v>
      </c>
      <c r="M10" s="30">
        <f t="shared" si="10"/>
        <v>11900</v>
      </c>
      <c r="N10" s="30">
        <f t="shared" si="4"/>
        <v>82000</v>
      </c>
    </row>
    <row r="11" spans="1:14" x14ac:dyDescent="0.25">
      <c r="A11" s="26"/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>
        <f t="shared" si="4"/>
        <v>0</v>
      </c>
    </row>
    <row r="12" spans="1:14" s="1" customFormat="1" x14ac:dyDescent="0.25">
      <c r="A12" s="29" t="s">
        <v>25</v>
      </c>
      <c r="B12" s="30">
        <f>(10*$F$33)+(10*$F$34+5*$F$35)+0*$F$36</f>
        <v>2650</v>
      </c>
      <c r="C12" s="30">
        <f>(10*$F$33)+(10*$F$34+5*$F$35)+0*$F$36</f>
        <v>2650</v>
      </c>
      <c r="D12" s="30">
        <f>(5*$F$33)+(5*$F$34+5*$F$35)+0*$F$36</f>
        <v>1625</v>
      </c>
      <c r="E12" s="30">
        <f>(5*$F$33)+(5*$F$34+5*$F$35)+0*$F$36</f>
        <v>1625</v>
      </c>
      <c r="F12" s="30">
        <f>(5*$F$33)+(5*$F$34+5*$F$35)+0*$F$36</f>
        <v>1625</v>
      </c>
      <c r="G12" s="30">
        <f>(10*$F$33)+(10*$F$34+15*$F$35)+0*$F$36</f>
        <v>3850</v>
      </c>
      <c r="H12" s="30">
        <f>(5*$F$33)+(5*$F$34+5*$F$35)+0*$F$36</f>
        <v>1625</v>
      </c>
      <c r="I12" s="30">
        <f>(10*$F$33)+(10*$F$34+10*$F$35)+10*$F$36</f>
        <v>3750</v>
      </c>
      <c r="J12" s="30">
        <f>(10*$F$33)+(5*$F$34+5*$F$35)+5*$F$36</f>
        <v>2425</v>
      </c>
      <c r="K12" s="30">
        <f>(15*$F$33)+(10*$F$34+10*$F$35)+10*$F$36</f>
        <v>4300</v>
      </c>
      <c r="L12" s="30">
        <f>(10*$F$33)+(10*$F$34+10*$F$35)+10*$F$36</f>
        <v>3750</v>
      </c>
      <c r="M12" s="30">
        <f>(15*$F$33)+(15*$F$34+10*$F$35)+10*$F$36</f>
        <v>4775</v>
      </c>
      <c r="N12" s="30">
        <f t="shared" si="4"/>
        <v>34650</v>
      </c>
    </row>
    <row r="13" spans="1:14" x14ac:dyDescent="0.25">
      <c r="A13" s="15"/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>
        <f t="shared" si="4"/>
        <v>0</v>
      </c>
    </row>
    <row r="14" spans="1:14" s="1" customFormat="1" x14ac:dyDescent="0.25">
      <c r="A14" s="29" t="s">
        <v>29</v>
      </c>
      <c r="B14" s="30">
        <f>B10-B12</f>
        <v>3450</v>
      </c>
      <c r="C14" s="30">
        <f t="shared" ref="C14:M14" si="11">C10-C12</f>
        <v>3450</v>
      </c>
      <c r="D14" s="30">
        <f t="shared" si="11"/>
        <v>1975</v>
      </c>
      <c r="E14" s="30">
        <f t="shared" si="11"/>
        <v>1975</v>
      </c>
      <c r="F14" s="30">
        <f t="shared" si="11"/>
        <v>1975</v>
      </c>
      <c r="G14" s="30">
        <f t="shared" si="11"/>
        <v>4450</v>
      </c>
      <c r="H14" s="30">
        <f t="shared" si="11"/>
        <v>1975</v>
      </c>
      <c r="I14" s="30">
        <f t="shared" si="11"/>
        <v>5650</v>
      </c>
      <c r="J14" s="30">
        <f t="shared" si="11"/>
        <v>3425</v>
      </c>
      <c r="K14" s="30">
        <f t="shared" si="11"/>
        <v>6250</v>
      </c>
      <c r="L14" s="30">
        <f t="shared" si="11"/>
        <v>5650</v>
      </c>
      <c r="M14" s="30">
        <f t="shared" si="11"/>
        <v>7125</v>
      </c>
      <c r="N14" s="30">
        <f t="shared" si="4"/>
        <v>47350</v>
      </c>
    </row>
    <row r="15" spans="1:14" x14ac:dyDescent="0.25">
      <c r="A15" s="15"/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>
        <f t="shared" si="4"/>
        <v>0</v>
      </c>
    </row>
    <row r="16" spans="1:14" x14ac:dyDescent="0.25">
      <c r="A16" s="26" t="s">
        <v>28</v>
      </c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>
        <f t="shared" si="4"/>
        <v>0</v>
      </c>
    </row>
    <row r="17" spans="1:14" x14ac:dyDescent="0.25">
      <c r="A17" s="15" t="s">
        <v>21</v>
      </c>
      <c r="B17" s="20">
        <f>20*25*2</f>
        <v>1000</v>
      </c>
      <c r="C17" s="20">
        <f>20*25*2</f>
        <v>1000</v>
      </c>
      <c r="D17" s="20">
        <f>20*15*2</f>
        <v>600</v>
      </c>
      <c r="E17" s="20">
        <f t="shared" ref="E17:H17" si="12">20*15*2</f>
        <v>600</v>
      </c>
      <c r="F17" s="20">
        <f t="shared" si="12"/>
        <v>600</v>
      </c>
      <c r="G17" s="20">
        <f>20*35*2</f>
        <v>1400</v>
      </c>
      <c r="H17" s="20">
        <f t="shared" si="12"/>
        <v>600</v>
      </c>
      <c r="I17" s="20">
        <f>20*40*2</f>
        <v>1600</v>
      </c>
      <c r="J17" s="20">
        <f>20*25*2</f>
        <v>1000</v>
      </c>
      <c r="K17" s="20">
        <f>20*45*2</f>
        <v>1800</v>
      </c>
      <c r="L17" s="20">
        <f t="shared" ref="L17:M17" si="13">20*40*2</f>
        <v>1600</v>
      </c>
      <c r="M17" s="20">
        <f t="shared" si="13"/>
        <v>1600</v>
      </c>
      <c r="N17" s="20">
        <f t="shared" si="4"/>
        <v>13400</v>
      </c>
    </row>
    <row r="18" spans="1:14" x14ac:dyDescent="0.25">
      <c r="A18" s="15" t="s">
        <v>22</v>
      </c>
      <c r="B18" s="20">
        <f>500/12</f>
        <v>41.666666666666664</v>
      </c>
      <c r="C18" s="20">
        <f t="shared" ref="C18:M18" si="14">500/12</f>
        <v>41.666666666666664</v>
      </c>
      <c r="D18" s="20">
        <f t="shared" si="14"/>
        <v>41.666666666666664</v>
      </c>
      <c r="E18" s="20">
        <f t="shared" si="14"/>
        <v>41.666666666666664</v>
      </c>
      <c r="F18" s="20">
        <f t="shared" si="14"/>
        <v>41.666666666666664</v>
      </c>
      <c r="G18" s="20">
        <f t="shared" si="14"/>
        <v>41.666666666666664</v>
      </c>
      <c r="H18" s="20">
        <f t="shared" si="14"/>
        <v>41.666666666666664</v>
      </c>
      <c r="I18" s="20">
        <f t="shared" si="14"/>
        <v>41.666666666666664</v>
      </c>
      <c r="J18" s="20">
        <f t="shared" si="14"/>
        <v>41.666666666666664</v>
      </c>
      <c r="K18" s="20">
        <f t="shared" si="14"/>
        <v>41.666666666666664</v>
      </c>
      <c r="L18" s="20">
        <f t="shared" si="14"/>
        <v>41.666666666666664</v>
      </c>
      <c r="M18" s="20">
        <f t="shared" si="14"/>
        <v>41.666666666666664</v>
      </c>
      <c r="N18" s="20">
        <f t="shared" si="4"/>
        <v>500.00000000000006</v>
      </c>
    </row>
    <row r="19" spans="1:14" x14ac:dyDescent="0.25">
      <c r="A19" s="15" t="s">
        <v>23</v>
      </c>
      <c r="B19" s="20">
        <f>110/3</f>
        <v>36.666666666666664</v>
      </c>
      <c r="C19" s="20">
        <f>110/3</f>
        <v>36.666666666666664</v>
      </c>
      <c r="D19" s="20">
        <f>90/3</f>
        <v>30</v>
      </c>
      <c r="E19" s="20">
        <f t="shared" ref="E19:F19" si="15">90/3</f>
        <v>30</v>
      </c>
      <c r="F19" s="20">
        <f t="shared" si="15"/>
        <v>30</v>
      </c>
      <c r="G19" s="20">
        <f>110/3</f>
        <v>36.666666666666664</v>
      </c>
      <c r="H19" s="20">
        <f>90/3</f>
        <v>30</v>
      </c>
      <c r="I19" s="20">
        <f>120/3</f>
        <v>40</v>
      </c>
      <c r="J19" s="20">
        <f>90/3</f>
        <v>30</v>
      </c>
      <c r="K19" s="20">
        <f>120/3</f>
        <v>40</v>
      </c>
      <c r="L19" s="20">
        <f t="shared" ref="L19:M19" si="16">120/3</f>
        <v>40</v>
      </c>
      <c r="M19" s="20">
        <f t="shared" si="16"/>
        <v>40</v>
      </c>
      <c r="N19" s="20">
        <f t="shared" si="4"/>
        <v>420</v>
      </c>
    </row>
    <row r="20" spans="1:14" x14ac:dyDescent="0.25">
      <c r="A20" s="15" t="s">
        <v>62</v>
      </c>
      <c r="B20" s="20">
        <v>40</v>
      </c>
      <c r="C20" s="20">
        <v>80</v>
      </c>
      <c r="D20" s="20">
        <v>40</v>
      </c>
      <c r="E20" s="20">
        <v>40</v>
      </c>
      <c r="F20" s="20">
        <v>45</v>
      </c>
      <c r="G20" s="20">
        <v>100</v>
      </c>
      <c r="H20" s="20">
        <v>35</v>
      </c>
      <c r="I20" s="20">
        <v>100</v>
      </c>
      <c r="J20" s="20">
        <v>45</v>
      </c>
      <c r="K20" s="20">
        <v>80</v>
      </c>
      <c r="L20" s="20">
        <v>80</v>
      </c>
      <c r="M20" s="20">
        <v>80</v>
      </c>
      <c r="N20" s="20">
        <f t="shared" si="4"/>
        <v>765</v>
      </c>
    </row>
    <row r="21" spans="1:14" s="1" customFormat="1" x14ac:dyDescent="0.25">
      <c r="A21" s="31" t="s">
        <v>63</v>
      </c>
      <c r="B21" s="32">
        <f t="shared" ref="B21:M21" si="17">SUM(B17:B20)</f>
        <v>1118.3333333333335</v>
      </c>
      <c r="C21" s="32">
        <f t="shared" si="17"/>
        <v>1158.3333333333335</v>
      </c>
      <c r="D21" s="32">
        <f t="shared" si="17"/>
        <v>711.66666666666663</v>
      </c>
      <c r="E21" s="32">
        <f t="shared" si="17"/>
        <v>711.66666666666663</v>
      </c>
      <c r="F21" s="32">
        <f t="shared" si="17"/>
        <v>716.66666666666663</v>
      </c>
      <c r="G21" s="32">
        <f t="shared" si="17"/>
        <v>1578.3333333333335</v>
      </c>
      <c r="H21" s="32">
        <f t="shared" si="17"/>
        <v>706.66666666666663</v>
      </c>
      <c r="I21" s="32">
        <f t="shared" si="17"/>
        <v>1781.6666666666667</v>
      </c>
      <c r="J21" s="32">
        <f t="shared" si="17"/>
        <v>1116.6666666666667</v>
      </c>
      <c r="K21" s="32">
        <f t="shared" si="17"/>
        <v>1961.6666666666667</v>
      </c>
      <c r="L21" s="32">
        <f t="shared" si="17"/>
        <v>1761.6666666666667</v>
      </c>
      <c r="M21" s="32">
        <f t="shared" si="17"/>
        <v>1761.6666666666667</v>
      </c>
      <c r="N21" s="32">
        <f t="shared" si="4"/>
        <v>15084.999999999998</v>
      </c>
    </row>
    <row r="22" spans="1:14" x14ac:dyDescent="0.25">
      <c r="A22" s="26"/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>
        <f t="shared" si="4"/>
        <v>0</v>
      </c>
    </row>
    <row r="23" spans="1:14" s="1" customFormat="1" x14ac:dyDescent="0.25">
      <c r="A23" s="31" t="s">
        <v>26</v>
      </c>
      <c r="B23" s="32">
        <f t="shared" ref="B23:M23" si="18">B14-B21</f>
        <v>2331.6666666666665</v>
      </c>
      <c r="C23" s="32">
        <f t="shared" si="18"/>
        <v>2291.6666666666665</v>
      </c>
      <c r="D23" s="32">
        <f t="shared" si="18"/>
        <v>1263.3333333333335</v>
      </c>
      <c r="E23" s="32">
        <f t="shared" si="18"/>
        <v>1263.3333333333335</v>
      </c>
      <c r="F23" s="32">
        <f t="shared" si="18"/>
        <v>1258.3333333333335</v>
      </c>
      <c r="G23" s="32">
        <f t="shared" si="18"/>
        <v>2871.6666666666665</v>
      </c>
      <c r="H23" s="32">
        <f t="shared" si="18"/>
        <v>1268.3333333333335</v>
      </c>
      <c r="I23" s="32">
        <f t="shared" si="18"/>
        <v>3868.333333333333</v>
      </c>
      <c r="J23" s="32">
        <f t="shared" si="18"/>
        <v>2308.333333333333</v>
      </c>
      <c r="K23" s="32">
        <f t="shared" si="18"/>
        <v>4288.333333333333</v>
      </c>
      <c r="L23" s="32">
        <f t="shared" si="18"/>
        <v>3888.333333333333</v>
      </c>
      <c r="M23" s="32">
        <f t="shared" si="18"/>
        <v>5363.333333333333</v>
      </c>
      <c r="N23" s="32">
        <f t="shared" si="4"/>
        <v>32264.999999999996</v>
      </c>
    </row>
    <row r="24" spans="1:14" x14ac:dyDescent="0.25">
      <c r="A24" s="15" t="s">
        <v>108</v>
      </c>
      <c r="B24" s="20">
        <f>B23*12%</f>
        <v>279.79999999999995</v>
      </c>
      <c r="C24" s="20">
        <f t="shared" ref="C24:N24" si="19">C23*12%</f>
        <v>275</v>
      </c>
      <c r="D24" s="20">
        <f t="shared" si="19"/>
        <v>151.60000000000002</v>
      </c>
      <c r="E24" s="20">
        <f t="shared" si="19"/>
        <v>151.60000000000002</v>
      </c>
      <c r="F24" s="20">
        <f t="shared" si="19"/>
        <v>151</v>
      </c>
      <c r="G24" s="20">
        <f t="shared" si="19"/>
        <v>344.59999999999997</v>
      </c>
      <c r="H24" s="20">
        <f t="shared" si="19"/>
        <v>152.20000000000002</v>
      </c>
      <c r="I24" s="20">
        <f t="shared" si="19"/>
        <v>464.19999999999993</v>
      </c>
      <c r="J24" s="20">
        <f t="shared" si="19"/>
        <v>276.99999999999994</v>
      </c>
      <c r="K24" s="20">
        <f t="shared" si="19"/>
        <v>514.59999999999991</v>
      </c>
      <c r="L24" s="20">
        <f t="shared" si="19"/>
        <v>466.59999999999997</v>
      </c>
      <c r="M24" s="20">
        <f t="shared" si="19"/>
        <v>643.59999999999991</v>
      </c>
      <c r="N24" s="20">
        <f t="shared" si="19"/>
        <v>3871.7999999999993</v>
      </c>
    </row>
    <row r="25" spans="1:14" s="1" customFormat="1" x14ac:dyDescent="0.25">
      <c r="A25" s="31" t="s">
        <v>24</v>
      </c>
      <c r="B25" s="32">
        <f>B23-B24</f>
        <v>2051.8666666666668</v>
      </c>
      <c r="C25" s="32">
        <f t="shared" ref="C25:L25" si="20">C23-C24</f>
        <v>2016.6666666666665</v>
      </c>
      <c r="D25" s="32">
        <f t="shared" si="20"/>
        <v>1111.7333333333336</v>
      </c>
      <c r="E25" s="32">
        <f t="shared" si="20"/>
        <v>1111.7333333333336</v>
      </c>
      <c r="F25" s="32">
        <f t="shared" si="20"/>
        <v>1107.3333333333335</v>
      </c>
      <c r="G25" s="32">
        <f t="shared" si="20"/>
        <v>2527.0666666666666</v>
      </c>
      <c r="H25" s="32">
        <f t="shared" si="20"/>
        <v>1116.1333333333334</v>
      </c>
      <c r="I25" s="32">
        <f t="shared" si="20"/>
        <v>3404.1333333333332</v>
      </c>
      <c r="J25" s="32">
        <f t="shared" si="20"/>
        <v>2031.333333333333</v>
      </c>
      <c r="K25" s="32">
        <f t="shared" si="20"/>
        <v>3773.7333333333331</v>
      </c>
      <c r="L25" s="32">
        <f t="shared" si="20"/>
        <v>3421.7333333333331</v>
      </c>
      <c r="M25" s="32">
        <f>M23-M24</f>
        <v>4719.7333333333336</v>
      </c>
      <c r="N25" s="32">
        <f>SUM(B25:M25)</f>
        <v>28393.200000000001</v>
      </c>
    </row>
    <row r="26" spans="1:14" x14ac:dyDescent="0.25">
      <c r="A26" s="15"/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</row>
    <row r="27" spans="1:14" x14ac:dyDescent="0.25">
      <c r="A27" s="33" t="s">
        <v>107</v>
      </c>
      <c r="B27" s="34">
        <f t="shared" ref="B27:M27" si="21">B25/B10</f>
        <v>0.33637158469945355</v>
      </c>
      <c r="C27" s="34">
        <f t="shared" si="21"/>
        <v>0.33060109289617484</v>
      </c>
      <c r="D27" s="34">
        <f t="shared" si="21"/>
        <v>0.30881481481481488</v>
      </c>
      <c r="E27" s="34">
        <f t="shared" si="21"/>
        <v>0.30881481481481488</v>
      </c>
      <c r="F27" s="34">
        <f t="shared" si="21"/>
        <v>0.30759259259259264</v>
      </c>
      <c r="G27" s="34">
        <f t="shared" si="21"/>
        <v>0.30446586345381527</v>
      </c>
      <c r="H27" s="34">
        <f t="shared" si="21"/>
        <v>0.31003703703703706</v>
      </c>
      <c r="I27" s="34">
        <f t="shared" si="21"/>
        <v>0.36214184397163118</v>
      </c>
      <c r="J27" s="34">
        <f t="shared" si="21"/>
        <v>0.34723646723646717</v>
      </c>
      <c r="K27" s="34">
        <f t="shared" si="21"/>
        <v>0.35769984202211691</v>
      </c>
      <c r="L27" s="34">
        <f t="shared" si="21"/>
        <v>0.3640141843971631</v>
      </c>
      <c r="M27" s="34">
        <f t="shared" si="21"/>
        <v>0.39661624649859945</v>
      </c>
      <c r="N27" s="34">
        <f>N25/N10</f>
        <v>0.34625853658536587</v>
      </c>
    </row>
    <row r="28" spans="1:14" x14ac:dyDescent="0.25">
      <c r="A28" s="13"/>
    </row>
    <row r="29" spans="1:14" x14ac:dyDescent="0.25">
      <c r="A29" s="13"/>
    </row>
    <row r="30" spans="1:14" x14ac:dyDescent="0.25">
      <c r="A30" s="13"/>
    </row>
    <row r="31" spans="1:14" x14ac:dyDescent="0.25">
      <c r="A31" s="13"/>
    </row>
    <row r="33" spans="4:6" x14ac:dyDescent="0.25">
      <c r="D33" s="11" t="s">
        <v>25</v>
      </c>
      <c r="E33" s="11" t="s">
        <v>59</v>
      </c>
      <c r="F33" s="11">
        <v>110</v>
      </c>
    </row>
    <row r="34" spans="4:6" x14ac:dyDescent="0.25">
      <c r="E34" s="11" t="s">
        <v>60</v>
      </c>
      <c r="F34" s="11">
        <v>95</v>
      </c>
    </row>
    <row r="35" spans="4:6" x14ac:dyDescent="0.25">
      <c r="E35" s="11" t="s">
        <v>61</v>
      </c>
      <c r="F35" s="11">
        <v>120</v>
      </c>
    </row>
    <row r="36" spans="4:6" x14ac:dyDescent="0.25">
      <c r="E36" s="11" t="s">
        <v>85</v>
      </c>
      <c r="F36" s="11">
        <v>50</v>
      </c>
    </row>
  </sheetData>
  <mergeCells count="1">
    <mergeCell ref="A1:N1"/>
  </mergeCells>
  <pageMargins left="0.7" right="0.7" top="0.75" bottom="0.75" header="0.3" footer="0.3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1465C0-EADE-43FD-BC62-7AD81A217F7B}">
  <dimension ref="A1:N35"/>
  <sheetViews>
    <sheetView topLeftCell="A24" zoomScale="75" zoomScaleNormal="70" workbookViewId="0">
      <selection activeCell="C36" sqref="C36"/>
    </sheetView>
  </sheetViews>
  <sheetFormatPr defaultColWidth="10.625" defaultRowHeight="15.75" x14ac:dyDescent="0.25"/>
  <cols>
    <col min="1" max="1" width="31.375" style="10" customWidth="1"/>
    <col min="2" max="2" width="11.375" style="11" customWidth="1"/>
    <col min="3" max="3" width="13" style="11" bestFit="1" customWidth="1"/>
    <col min="4" max="8" width="11.75" style="11" bestFit="1" customWidth="1"/>
    <col min="9" max="9" width="15.625" style="11" bestFit="1" customWidth="1"/>
    <col min="10" max="10" width="11.75" style="11" bestFit="1" customWidth="1"/>
    <col min="11" max="11" width="15.25" style="11" bestFit="1" customWidth="1"/>
    <col min="12" max="13" width="11.75" style="11" bestFit="1" customWidth="1"/>
    <col min="14" max="14" width="12.875" style="12" bestFit="1" customWidth="1"/>
  </cols>
  <sheetData>
    <row r="1" spans="1:14" ht="57" x14ac:dyDescent="0.9">
      <c r="A1" s="64" t="s">
        <v>82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6"/>
    </row>
    <row r="2" spans="1:14" s="14" customFormat="1" ht="32.25" customHeight="1" x14ac:dyDescent="0.9">
      <c r="A2" s="24"/>
      <c r="B2" s="20" t="s">
        <v>77</v>
      </c>
      <c r="C2" s="20" t="s">
        <v>76</v>
      </c>
      <c r="D2" s="20"/>
      <c r="E2" s="20"/>
      <c r="F2" s="20"/>
      <c r="G2" s="20" t="s">
        <v>113</v>
      </c>
      <c r="H2" s="20"/>
      <c r="I2" s="20" t="s">
        <v>81</v>
      </c>
      <c r="J2" s="20"/>
      <c r="K2" s="20" t="s">
        <v>80</v>
      </c>
      <c r="L2" s="20" t="s">
        <v>79</v>
      </c>
      <c r="M2" s="20" t="s">
        <v>78</v>
      </c>
      <c r="N2" s="25"/>
    </row>
    <row r="3" spans="1:14" s="1" customFormat="1" x14ac:dyDescent="0.25">
      <c r="A3" s="27" t="s">
        <v>0</v>
      </c>
      <c r="B3" s="28" t="s">
        <v>64</v>
      </c>
      <c r="C3" s="28" t="s">
        <v>65</v>
      </c>
      <c r="D3" s="28" t="s">
        <v>66</v>
      </c>
      <c r="E3" s="28" t="s">
        <v>67</v>
      </c>
      <c r="F3" s="28" t="s">
        <v>68</v>
      </c>
      <c r="G3" s="28" t="s">
        <v>69</v>
      </c>
      <c r="H3" s="28" t="s">
        <v>70</v>
      </c>
      <c r="I3" s="28" t="s">
        <v>71</v>
      </c>
      <c r="J3" s="28" t="s">
        <v>72</v>
      </c>
      <c r="K3" s="28" t="s">
        <v>73</v>
      </c>
      <c r="L3" s="28" t="s">
        <v>74</v>
      </c>
      <c r="M3" s="28" t="s">
        <v>75</v>
      </c>
      <c r="N3" s="28"/>
    </row>
    <row r="4" spans="1:14" s="1" customFormat="1" x14ac:dyDescent="0.25">
      <c r="A4" s="27"/>
      <c r="B4" s="28" t="s">
        <v>4</v>
      </c>
      <c r="C4" s="28" t="s">
        <v>5</v>
      </c>
      <c r="D4" s="28" t="s">
        <v>6</v>
      </c>
      <c r="E4" s="28" t="s">
        <v>7</v>
      </c>
      <c r="F4" s="28" t="s">
        <v>8</v>
      </c>
      <c r="G4" s="28" t="s">
        <v>9</v>
      </c>
      <c r="H4" s="28" t="s">
        <v>10</v>
      </c>
      <c r="I4" s="28" t="s">
        <v>11</v>
      </c>
      <c r="J4" s="28" t="s">
        <v>12</v>
      </c>
      <c r="K4" s="28" t="s">
        <v>13</v>
      </c>
      <c r="L4" s="28" t="s">
        <v>14</v>
      </c>
      <c r="M4" s="28" t="s">
        <v>15</v>
      </c>
      <c r="N4" s="28" t="s">
        <v>16</v>
      </c>
    </row>
    <row r="5" spans="1:14" x14ac:dyDescent="0.25">
      <c r="A5" s="26" t="s">
        <v>3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</row>
    <row r="6" spans="1:14" x14ac:dyDescent="0.25">
      <c r="A6" s="15" t="s">
        <v>56</v>
      </c>
      <c r="B6" s="20">
        <f>230*20</f>
        <v>4600</v>
      </c>
      <c r="C6" s="20">
        <f>230*15</f>
        <v>3450</v>
      </c>
      <c r="D6" s="20">
        <f>230*15</f>
        <v>3450</v>
      </c>
      <c r="E6" s="20">
        <f t="shared" ref="E6:F6" si="0">230*10</f>
        <v>2300</v>
      </c>
      <c r="F6" s="20">
        <f t="shared" si="0"/>
        <v>2300</v>
      </c>
      <c r="G6" s="20">
        <f>230*20</f>
        <v>4600</v>
      </c>
      <c r="H6" s="20">
        <f>230*15</f>
        <v>3450</v>
      </c>
      <c r="I6" s="20">
        <f>230*20</f>
        <v>4600</v>
      </c>
      <c r="J6" s="20">
        <f>230*15</f>
        <v>3450</v>
      </c>
      <c r="K6" s="20">
        <f>230*15</f>
        <v>3450</v>
      </c>
      <c r="L6" s="20">
        <f>230*20</f>
        <v>4600</v>
      </c>
      <c r="M6" s="20">
        <f>230*20</f>
        <v>4600</v>
      </c>
      <c r="N6" s="20">
        <f>SUM(B6:M6)</f>
        <v>44850</v>
      </c>
    </row>
    <row r="7" spans="1:14" x14ac:dyDescent="0.25">
      <c r="A7" s="15" t="s">
        <v>57</v>
      </c>
      <c r="B7" s="20">
        <f>270*20</f>
        <v>5400</v>
      </c>
      <c r="C7" s="20">
        <f>270*15</f>
        <v>4050</v>
      </c>
      <c r="D7" s="20">
        <f>270*15</f>
        <v>4050</v>
      </c>
      <c r="E7" s="20">
        <f t="shared" ref="E7:F7" si="1">270*10</f>
        <v>2700</v>
      </c>
      <c r="F7" s="20">
        <f t="shared" si="1"/>
        <v>2700</v>
      </c>
      <c r="G7" s="20">
        <f>270*20</f>
        <v>5400</v>
      </c>
      <c r="H7" s="20">
        <f>270*15</f>
        <v>4050</v>
      </c>
      <c r="I7" s="20">
        <f>270*20</f>
        <v>5400</v>
      </c>
      <c r="J7" s="20">
        <f>270*15</f>
        <v>4050</v>
      </c>
      <c r="K7" s="20">
        <f>270*15</f>
        <v>4050</v>
      </c>
      <c r="L7" s="20">
        <f>270*20</f>
        <v>5400</v>
      </c>
      <c r="M7" s="20">
        <f>270*20</f>
        <v>5400</v>
      </c>
      <c r="N7" s="20">
        <f t="shared" ref="N7:N25" si="2">SUM(B7:M7)</f>
        <v>52650</v>
      </c>
    </row>
    <row r="8" spans="1:14" x14ac:dyDescent="0.25">
      <c r="A8" s="15" t="s">
        <v>58</v>
      </c>
      <c r="B8" s="20">
        <f>220*20</f>
        <v>4400</v>
      </c>
      <c r="C8" s="20">
        <f>220*10</f>
        <v>2200</v>
      </c>
      <c r="D8" s="20">
        <f>220*10</f>
        <v>2200</v>
      </c>
      <c r="E8" s="20">
        <f t="shared" ref="E8:H8" si="3">220*10</f>
        <v>2200</v>
      </c>
      <c r="F8" s="20">
        <f t="shared" si="3"/>
        <v>2200</v>
      </c>
      <c r="G8" s="20">
        <f>220*20</f>
        <v>4400</v>
      </c>
      <c r="H8" s="20">
        <f t="shared" si="3"/>
        <v>2200</v>
      </c>
      <c r="I8" s="20">
        <f>220*15</f>
        <v>3300</v>
      </c>
      <c r="J8" s="20">
        <f>220*10</f>
        <v>2200</v>
      </c>
      <c r="K8" s="20">
        <f>220*15</f>
        <v>3300</v>
      </c>
      <c r="L8" s="20">
        <f t="shared" ref="L8" si="4">220*15</f>
        <v>3300</v>
      </c>
      <c r="M8" s="20">
        <f>220*20</f>
        <v>4400</v>
      </c>
      <c r="N8" s="20">
        <f t="shared" si="2"/>
        <v>36300</v>
      </c>
    </row>
    <row r="9" spans="1:14" x14ac:dyDescent="0.25">
      <c r="A9" s="15" t="s">
        <v>55</v>
      </c>
      <c r="B9" s="20">
        <f>220*10</f>
        <v>2200</v>
      </c>
      <c r="C9" s="20">
        <f>220*10</f>
        <v>2200</v>
      </c>
      <c r="D9" s="20">
        <f t="shared" ref="D9:H9" si="5">220*10</f>
        <v>2200</v>
      </c>
      <c r="E9" s="20">
        <f t="shared" si="5"/>
        <v>2200</v>
      </c>
      <c r="F9" s="20">
        <f t="shared" si="5"/>
        <v>2200</v>
      </c>
      <c r="G9" s="20">
        <f>220*25</f>
        <v>5500</v>
      </c>
      <c r="H9" s="20">
        <f t="shared" si="5"/>
        <v>2200</v>
      </c>
      <c r="I9" s="20">
        <f>15*220</f>
        <v>3300</v>
      </c>
      <c r="J9" s="20">
        <f t="shared" ref="J9" si="6">10*220</f>
        <v>2200</v>
      </c>
      <c r="K9" s="20">
        <f>15*220</f>
        <v>3300</v>
      </c>
      <c r="L9" s="20">
        <f t="shared" ref="L9" si="7">15*220</f>
        <v>3300</v>
      </c>
      <c r="M9" s="20">
        <f>20*220</f>
        <v>4400</v>
      </c>
      <c r="N9" s="20">
        <f t="shared" si="2"/>
        <v>35200</v>
      </c>
    </row>
    <row r="10" spans="1:14" s="1" customFormat="1" x14ac:dyDescent="0.25">
      <c r="A10" s="29" t="s">
        <v>27</v>
      </c>
      <c r="B10" s="30">
        <f>SUM(B6:B9)</f>
        <v>16600</v>
      </c>
      <c r="C10" s="30">
        <f t="shared" ref="C10:M10" si="8">SUM(C5:C9)</f>
        <v>11900</v>
      </c>
      <c r="D10" s="30">
        <f t="shared" si="8"/>
        <v>11900</v>
      </c>
      <c r="E10" s="30">
        <f t="shared" si="8"/>
        <v>9400</v>
      </c>
      <c r="F10" s="30">
        <f t="shared" si="8"/>
        <v>9400</v>
      </c>
      <c r="G10" s="30">
        <f t="shared" si="8"/>
        <v>19900</v>
      </c>
      <c r="H10" s="30">
        <f t="shared" si="8"/>
        <v>11900</v>
      </c>
      <c r="I10" s="30">
        <f t="shared" si="8"/>
        <v>16600</v>
      </c>
      <c r="J10" s="30">
        <f t="shared" si="8"/>
        <v>11900</v>
      </c>
      <c r="K10" s="30">
        <f t="shared" si="8"/>
        <v>14100</v>
      </c>
      <c r="L10" s="30">
        <f t="shared" si="8"/>
        <v>16600</v>
      </c>
      <c r="M10" s="30">
        <f t="shared" si="8"/>
        <v>18800</v>
      </c>
      <c r="N10" s="30">
        <f t="shared" si="2"/>
        <v>169000</v>
      </c>
    </row>
    <row r="11" spans="1:14" x14ac:dyDescent="0.25">
      <c r="A11" s="26"/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>
        <f t="shared" si="2"/>
        <v>0</v>
      </c>
    </row>
    <row r="12" spans="1:14" s="1" customFormat="1" x14ac:dyDescent="0.25">
      <c r="A12" s="29" t="s">
        <v>25</v>
      </c>
      <c r="B12" s="30">
        <f>(20*$F$32)+(20*$F$33+20*$F$34)+10*$F$35</f>
        <v>7000</v>
      </c>
      <c r="C12" s="30">
        <f>(15*$F$32)+(15*$F$33+10*$F$34)+10*$F$35</f>
        <v>4775</v>
      </c>
      <c r="D12" s="30">
        <f>(15*$F$32)+(15*$F$33+10*$F$34)+10*$F$35</f>
        <v>4775</v>
      </c>
      <c r="E12" s="30">
        <f>(10*$F$32)+(10*$F$33+10*$F$34)+10*$F$35</f>
        <v>3750</v>
      </c>
      <c r="F12" s="30">
        <f>(10*$F$32)+(10*$F$33+10*$F$34)+10*$F$35</f>
        <v>3750</v>
      </c>
      <c r="G12" s="30">
        <f>(20*$F$32)+(20*$F$33+20*$F$34)+25*$F$35</f>
        <v>7750</v>
      </c>
      <c r="H12" s="30">
        <f>(15*$F$32)+(15*$F$33+10*$F$34)+10*$F$35</f>
        <v>4775</v>
      </c>
      <c r="I12" s="30">
        <f>(20*$F$32)+(20*$F$33+15*$F$34)+15*$F$35</f>
        <v>6650</v>
      </c>
      <c r="J12" s="30">
        <f>(15*$F$32)+(15*$F$33+10*$F$34)+10*$F$35</f>
        <v>4775</v>
      </c>
      <c r="K12" s="30">
        <f>(15*$F$32)+(15*$F$33+15*$F$34)+15*$F$35</f>
        <v>5625</v>
      </c>
      <c r="L12" s="30">
        <f>(20*$F$32)+(20*$F$33+15*$F$34)+15*$F$35</f>
        <v>6650</v>
      </c>
      <c r="M12" s="30">
        <f>(20*$F$32)+(20*$F$33+20*$F$34)+20*$F$35</f>
        <v>7500</v>
      </c>
      <c r="N12" s="30">
        <f t="shared" si="2"/>
        <v>67775</v>
      </c>
    </row>
    <row r="13" spans="1:14" x14ac:dyDescent="0.25">
      <c r="A13" s="15"/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>
        <f t="shared" si="2"/>
        <v>0</v>
      </c>
    </row>
    <row r="14" spans="1:14" s="1" customFormat="1" x14ac:dyDescent="0.25">
      <c r="A14" s="29" t="s">
        <v>29</v>
      </c>
      <c r="B14" s="30">
        <f>B10-B12</f>
        <v>9600</v>
      </c>
      <c r="C14" s="30">
        <f t="shared" ref="C14:M14" si="9">C10-C12</f>
        <v>7125</v>
      </c>
      <c r="D14" s="30">
        <f t="shared" si="9"/>
        <v>7125</v>
      </c>
      <c r="E14" s="30">
        <f t="shared" si="9"/>
        <v>5650</v>
      </c>
      <c r="F14" s="30">
        <f t="shared" si="9"/>
        <v>5650</v>
      </c>
      <c r="G14" s="30">
        <f t="shared" si="9"/>
        <v>12150</v>
      </c>
      <c r="H14" s="30">
        <f t="shared" si="9"/>
        <v>7125</v>
      </c>
      <c r="I14" s="30">
        <f t="shared" si="9"/>
        <v>9950</v>
      </c>
      <c r="J14" s="30">
        <f t="shared" si="9"/>
        <v>7125</v>
      </c>
      <c r="K14" s="30">
        <f t="shared" si="9"/>
        <v>8475</v>
      </c>
      <c r="L14" s="30">
        <f t="shared" si="9"/>
        <v>9950</v>
      </c>
      <c r="M14" s="30">
        <f t="shared" si="9"/>
        <v>11300</v>
      </c>
      <c r="N14" s="30">
        <f t="shared" si="2"/>
        <v>101225</v>
      </c>
    </row>
    <row r="15" spans="1:14" x14ac:dyDescent="0.25">
      <c r="A15" s="15"/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</row>
    <row r="16" spans="1:14" x14ac:dyDescent="0.25">
      <c r="A16" s="26" t="s">
        <v>28</v>
      </c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</row>
    <row r="17" spans="1:14" x14ac:dyDescent="0.25">
      <c r="A17" s="15" t="s">
        <v>21</v>
      </c>
      <c r="B17" s="20">
        <f>20*70*2</f>
        <v>2800</v>
      </c>
      <c r="C17" s="20">
        <f>20*50*2</f>
        <v>2000</v>
      </c>
      <c r="D17" s="20">
        <f>20*50*2</f>
        <v>2000</v>
      </c>
      <c r="E17" s="20">
        <f t="shared" ref="E17:F17" si="10">20*40*2</f>
        <v>1600</v>
      </c>
      <c r="F17" s="20">
        <f t="shared" si="10"/>
        <v>1600</v>
      </c>
      <c r="G17" s="20">
        <f>20*85*2</f>
        <v>3400</v>
      </c>
      <c r="H17" s="20">
        <f>20*50*2</f>
        <v>2000</v>
      </c>
      <c r="I17" s="20">
        <f>20*70*2</f>
        <v>2800</v>
      </c>
      <c r="J17" s="20">
        <f>20*50*2</f>
        <v>2000</v>
      </c>
      <c r="K17" s="20">
        <f>20*60*2</f>
        <v>2400</v>
      </c>
      <c r="L17" s="20">
        <f>20*70*2</f>
        <v>2800</v>
      </c>
      <c r="M17" s="20">
        <f>20*80*2</f>
        <v>3200</v>
      </c>
      <c r="N17" s="20">
        <f t="shared" si="2"/>
        <v>28600</v>
      </c>
    </row>
    <row r="18" spans="1:14" x14ac:dyDescent="0.25">
      <c r="A18" s="15" t="s">
        <v>22</v>
      </c>
      <c r="B18" s="20">
        <f>500/12</f>
        <v>41.666666666666664</v>
      </c>
      <c r="C18" s="20">
        <f t="shared" ref="C18:M18" si="11">500/12</f>
        <v>41.666666666666664</v>
      </c>
      <c r="D18" s="20">
        <f t="shared" si="11"/>
        <v>41.666666666666664</v>
      </c>
      <c r="E18" s="20">
        <f t="shared" si="11"/>
        <v>41.666666666666664</v>
      </c>
      <c r="F18" s="20">
        <f t="shared" si="11"/>
        <v>41.666666666666664</v>
      </c>
      <c r="G18" s="20">
        <f t="shared" si="11"/>
        <v>41.666666666666664</v>
      </c>
      <c r="H18" s="20">
        <f t="shared" si="11"/>
        <v>41.666666666666664</v>
      </c>
      <c r="I18" s="20">
        <f t="shared" si="11"/>
        <v>41.666666666666664</v>
      </c>
      <c r="J18" s="20">
        <f t="shared" si="11"/>
        <v>41.666666666666664</v>
      </c>
      <c r="K18" s="20">
        <f t="shared" si="11"/>
        <v>41.666666666666664</v>
      </c>
      <c r="L18" s="20">
        <f t="shared" si="11"/>
        <v>41.666666666666664</v>
      </c>
      <c r="M18" s="20">
        <f t="shared" si="11"/>
        <v>41.666666666666664</v>
      </c>
      <c r="N18" s="20">
        <f t="shared" si="2"/>
        <v>500.00000000000006</v>
      </c>
    </row>
    <row r="19" spans="1:14" x14ac:dyDescent="0.25">
      <c r="A19" s="15" t="s">
        <v>23</v>
      </c>
      <c r="B19" s="20">
        <f>200/3</f>
        <v>66.666666666666671</v>
      </c>
      <c r="C19" s="20">
        <f t="shared" ref="C19:M19" si="12">200/3</f>
        <v>66.666666666666671</v>
      </c>
      <c r="D19" s="20">
        <f t="shared" si="12"/>
        <v>66.666666666666671</v>
      </c>
      <c r="E19" s="20">
        <f t="shared" si="12"/>
        <v>66.666666666666671</v>
      </c>
      <c r="F19" s="20">
        <f t="shared" si="12"/>
        <v>66.666666666666671</v>
      </c>
      <c r="G19" s="20">
        <f t="shared" si="12"/>
        <v>66.666666666666671</v>
      </c>
      <c r="H19" s="20">
        <f t="shared" si="12"/>
        <v>66.666666666666671</v>
      </c>
      <c r="I19" s="20">
        <f t="shared" si="12"/>
        <v>66.666666666666671</v>
      </c>
      <c r="J19" s="20">
        <f t="shared" si="12"/>
        <v>66.666666666666671</v>
      </c>
      <c r="K19" s="20">
        <f t="shared" si="12"/>
        <v>66.666666666666671</v>
      </c>
      <c r="L19" s="20">
        <f t="shared" si="12"/>
        <v>66.666666666666671</v>
      </c>
      <c r="M19" s="20">
        <f t="shared" si="12"/>
        <v>66.666666666666671</v>
      </c>
      <c r="N19" s="20">
        <f t="shared" si="2"/>
        <v>799.99999999999989</v>
      </c>
    </row>
    <row r="20" spans="1:14" x14ac:dyDescent="0.25">
      <c r="A20" s="15" t="s">
        <v>62</v>
      </c>
      <c r="B20" s="20">
        <v>50</v>
      </c>
      <c r="C20" s="20">
        <v>90</v>
      </c>
      <c r="D20" s="20">
        <v>50</v>
      </c>
      <c r="E20" s="20">
        <v>50</v>
      </c>
      <c r="F20" s="20">
        <v>50</v>
      </c>
      <c r="G20" s="20">
        <v>110</v>
      </c>
      <c r="H20" s="20">
        <v>45</v>
      </c>
      <c r="I20" s="20">
        <v>110</v>
      </c>
      <c r="J20" s="20">
        <v>55</v>
      </c>
      <c r="K20" s="20">
        <v>90</v>
      </c>
      <c r="L20" s="20">
        <v>90</v>
      </c>
      <c r="M20" s="20">
        <v>90</v>
      </c>
      <c r="N20" s="20">
        <f t="shared" si="2"/>
        <v>880</v>
      </c>
    </row>
    <row r="21" spans="1:14" s="1" customFormat="1" x14ac:dyDescent="0.25">
      <c r="A21" s="31" t="s">
        <v>63</v>
      </c>
      <c r="B21" s="32">
        <f t="shared" ref="B21:M21" si="13">SUM(B17:B20)</f>
        <v>2958.333333333333</v>
      </c>
      <c r="C21" s="32">
        <f t="shared" si="13"/>
        <v>2198.3333333333335</v>
      </c>
      <c r="D21" s="32">
        <f t="shared" si="13"/>
        <v>2158.3333333333335</v>
      </c>
      <c r="E21" s="32">
        <f t="shared" si="13"/>
        <v>1758.3333333333335</v>
      </c>
      <c r="F21" s="32">
        <f t="shared" si="13"/>
        <v>1758.3333333333335</v>
      </c>
      <c r="G21" s="32">
        <f t="shared" si="13"/>
        <v>3618.333333333333</v>
      </c>
      <c r="H21" s="32">
        <f t="shared" si="13"/>
        <v>2153.3333333333335</v>
      </c>
      <c r="I21" s="32">
        <f t="shared" si="13"/>
        <v>3018.333333333333</v>
      </c>
      <c r="J21" s="32">
        <f t="shared" si="13"/>
        <v>2163.3333333333335</v>
      </c>
      <c r="K21" s="32">
        <f t="shared" si="13"/>
        <v>2598.333333333333</v>
      </c>
      <c r="L21" s="32">
        <f t="shared" si="13"/>
        <v>2998.333333333333</v>
      </c>
      <c r="M21" s="32">
        <f t="shared" si="13"/>
        <v>3398.333333333333</v>
      </c>
      <c r="N21" s="32">
        <f t="shared" si="2"/>
        <v>30779.999999999993</v>
      </c>
    </row>
    <row r="22" spans="1:14" x14ac:dyDescent="0.25">
      <c r="A22" s="26"/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>
        <f t="shared" si="2"/>
        <v>0</v>
      </c>
    </row>
    <row r="23" spans="1:14" s="1" customFormat="1" x14ac:dyDescent="0.25">
      <c r="A23" s="31" t="s">
        <v>26</v>
      </c>
      <c r="B23" s="32">
        <f>B14-B21</f>
        <v>6641.666666666667</v>
      </c>
      <c r="C23" s="32">
        <f t="shared" ref="C23:M23" si="14">C14-C21</f>
        <v>4926.6666666666661</v>
      </c>
      <c r="D23" s="32">
        <f t="shared" si="14"/>
        <v>4966.6666666666661</v>
      </c>
      <c r="E23" s="32">
        <f t="shared" si="14"/>
        <v>3891.6666666666665</v>
      </c>
      <c r="F23" s="32">
        <f t="shared" si="14"/>
        <v>3891.6666666666665</v>
      </c>
      <c r="G23" s="32">
        <f>G14-G21</f>
        <v>8531.6666666666679</v>
      </c>
      <c r="H23" s="32">
        <f t="shared" si="14"/>
        <v>4971.6666666666661</v>
      </c>
      <c r="I23" s="32">
        <f t="shared" si="14"/>
        <v>6931.666666666667</v>
      </c>
      <c r="J23" s="32">
        <f t="shared" si="14"/>
        <v>4961.6666666666661</v>
      </c>
      <c r="K23" s="32">
        <f t="shared" si="14"/>
        <v>5876.666666666667</v>
      </c>
      <c r="L23" s="32">
        <f t="shared" si="14"/>
        <v>6951.666666666667</v>
      </c>
      <c r="M23" s="32">
        <f t="shared" si="14"/>
        <v>7901.666666666667</v>
      </c>
      <c r="N23" s="32">
        <f t="shared" si="2"/>
        <v>70444.999999999985</v>
      </c>
    </row>
    <row r="24" spans="1:14" x14ac:dyDescent="0.25">
      <c r="A24" s="15" t="s">
        <v>108</v>
      </c>
      <c r="B24" s="20">
        <f>B23*12%</f>
        <v>797</v>
      </c>
      <c r="C24" s="20">
        <f t="shared" ref="C24:M24" si="15">C23*12%</f>
        <v>591.19999999999993</v>
      </c>
      <c r="D24" s="20">
        <f t="shared" si="15"/>
        <v>595.99999999999989</v>
      </c>
      <c r="E24" s="20">
        <f t="shared" si="15"/>
        <v>466.99999999999994</v>
      </c>
      <c r="F24" s="20">
        <f t="shared" si="15"/>
        <v>466.99999999999994</v>
      </c>
      <c r="G24" s="20">
        <f t="shared" si="15"/>
        <v>1023.8000000000001</v>
      </c>
      <c r="H24" s="20">
        <f t="shared" si="15"/>
        <v>596.59999999999991</v>
      </c>
      <c r="I24" s="20">
        <f t="shared" si="15"/>
        <v>831.8</v>
      </c>
      <c r="J24" s="20">
        <f t="shared" si="15"/>
        <v>595.39999999999986</v>
      </c>
      <c r="K24" s="20">
        <f t="shared" si="15"/>
        <v>705.2</v>
      </c>
      <c r="L24" s="20">
        <f t="shared" si="15"/>
        <v>834.2</v>
      </c>
      <c r="M24" s="20">
        <f t="shared" si="15"/>
        <v>948.2</v>
      </c>
      <c r="N24" s="20">
        <f t="shared" si="2"/>
        <v>8453.4</v>
      </c>
    </row>
    <row r="25" spans="1:14" s="1" customFormat="1" x14ac:dyDescent="0.25">
      <c r="A25" s="31" t="s">
        <v>24</v>
      </c>
      <c r="B25" s="32">
        <f>B23-B24</f>
        <v>5844.666666666667</v>
      </c>
      <c r="C25" s="32">
        <f t="shared" ref="C25:M25" si="16">C23-C24</f>
        <v>4335.4666666666662</v>
      </c>
      <c r="D25" s="32">
        <f t="shared" si="16"/>
        <v>4370.6666666666661</v>
      </c>
      <c r="E25" s="32">
        <f t="shared" si="16"/>
        <v>3424.6666666666665</v>
      </c>
      <c r="F25" s="32">
        <f t="shared" si="16"/>
        <v>3424.6666666666665</v>
      </c>
      <c r="G25" s="32">
        <f t="shared" si="16"/>
        <v>7507.8666666666677</v>
      </c>
      <c r="H25" s="32">
        <f t="shared" si="16"/>
        <v>4375.0666666666657</v>
      </c>
      <c r="I25" s="32">
        <f t="shared" si="16"/>
        <v>6099.8666666666668</v>
      </c>
      <c r="J25" s="32">
        <f t="shared" si="16"/>
        <v>4366.2666666666664</v>
      </c>
      <c r="K25" s="32">
        <f t="shared" si="16"/>
        <v>5171.4666666666672</v>
      </c>
      <c r="L25" s="32">
        <f t="shared" si="16"/>
        <v>6117.4666666666672</v>
      </c>
      <c r="M25" s="32">
        <f t="shared" si="16"/>
        <v>6953.4666666666672</v>
      </c>
      <c r="N25" s="32">
        <f t="shared" si="2"/>
        <v>61991.6</v>
      </c>
    </row>
    <row r="26" spans="1:14" x14ac:dyDescent="0.25">
      <c r="A26" s="15"/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</row>
    <row r="27" spans="1:14" x14ac:dyDescent="0.25">
      <c r="A27" s="33" t="s">
        <v>107</v>
      </c>
      <c r="B27" s="34">
        <f t="shared" ref="B27:M27" si="17">B25/B10</f>
        <v>0.35208835341365463</v>
      </c>
      <c r="C27" s="34">
        <f t="shared" si="17"/>
        <v>0.36432492997198879</v>
      </c>
      <c r="D27" s="34">
        <f t="shared" si="17"/>
        <v>0.36728291316526607</v>
      </c>
      <c r="E27" s="34">
        <f t="shared" si="17"/>
        <v>0.36432624113475176</v>
      </c>
      <c r="F27" s="34">
        <f t="shared" si="17"/>
        <v>0.36432624113475176</v>
      </c>
      <c r="G27" s="34">
        <f t="shared" si="17"/>
        <v>0.37727973199329989</v>
      </c>
      <c r="H27" s="34">
        <f t="shared" si="17"/>
        <v>0.36765266106442568</v>
      </c>
      <c r="I27" s="34">
        <f t="shared" si="17"/>
        <v>0.36746184738955823</v>
      </c>
      <c r="J27" s="34">
        <f t="shared" si="17"/>
        <v>0.3669131652661064</v>
      </c>
      <c r="K27" s="34">
        <f t="shared" si="17"/>
        <v>0.36677068557919623</v>
      </c>
      <c r="L27" s="34">
        <f t="shared" si="17"/>
        <v>0.36852208835341366</v>
      </c>
      <c r="M27" s="34">
        <f t="shared" si="17"/>
        <v>0.36986524822695038</v>
      </c>
      <c r="N27" s="34">
        <f>N25/N10</f>
        <v>0.36681420118343194</v>
      </c>
    </row>
    <row r="28" spans="1:14" x14ac:dyDescent="0.25">
      <c r="A28" s="13"/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</row>
    <row r="29" spans="1:14" x14ac:dyDescent="0.25">
      <c r="A29" s="13"/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</row>
    <row r="32" spans="1:14" x14ac:dyDescent="0.25">
      <c r="D32" s="11" t="s">
        <v>25</v>
      </c>
      <c r="E32" s="11" t="s">
        <v>59</v>
      </c>
      <c r="F32" s="11">
        <v>110</v>
      </c>
    </row>
    <row r="33" spans="5:6" x14ac:dyDescent="0.25">
      <c r="E33" s="11" t="s">
        <v>60</v>
      </c>
      <c r="F33" s="11">
        <v>95</v>
      </c>
    </row>
    <row r="34" spans="5:6" x14ac:dyDescent="0.25">
      <c r="E34" s="11" t="s">
        <v>61</v>
      </c>
      <c r="F34" s="11">
        <v>120</v>
      </c>
    </row>
    <row r="35" spans="5:6" x14ac:dyDescent="0.25">
      <c r="E35" s="11" t="s">
        <v>85</v>
      </c>
      <c r="F35" s="11">
        <v>50</v>
      </c>
    </row>
  </sheetData>
  <mergeCells count="1">
    <mergeCell ref="A1:N1"/>
  </mergeCells>
  <pageMargins left="0.7" right="0.7" top="0.75" bottom="0.75" header="0.3" footer="0.3"/>
  <drawing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B61886-7D71-DF43-AAF6-B26B3FE34E2A}">
  <dimension ref="A1:M32"/>
  <sheetViews>
    <sheetView topLeftCell="I21" zoomScale="85" zoomScaleNormal="85" workbookViewId="0">
      <selection activeCell="Y37" sqref="Y37"/>
    </sheetView>
  </sheetViews>
  <sheetFormatPr defaultColWidth="10.625" defaultRowHeight="15.75" x14ac:dyDescent="0.25"/>
  <cols>
    <col min="1" max="1" width="37.375" bestFit="1" customWidth="1"/>
    <col min="2" max="2" width="11.125" bestFit="1" customWidth="1"/>
    <col min="3" max="8" width="11.625" bestFit="1" customWidth="1"/>
    <col min="9" max="9" width="14.625" bestFit="1" customWidth="1"/>
    <col min="10" max="10" width="11.625" bestFit="1" customWidth="1"/>
    <col min="11" max="11" width="13.625" bestFit="1" customWidth="1"/>
    <col min="12" max="13" width="11.625" bestFit="1" customWidth="1"/>
  </cols>
  <sheetData>
    <row r="1" spans="1:13" ht="57" x14ac:dyDescent="0.9">
      <c r="A1" s="67" t="s">
        <v>82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</row>
    <row r="2" spans="1:13" ht="36.75" customHeight="1" x14ac:dyDescent="0.9">
      <c r="A2" s="35"/>
      <c r="B2" s="20" t="s">
        <v>77</v>
      </c>
      <c r="C2" s="20" t="s">
        <v>76</v>
      </c>
      <c r="D2" s="20"/>
      <c r="E2" s="20"/>
      <c r="F2" s="20"/>
      <c r="G2" s="20" t="s">
        <v>113</v>
      </c>
      <c r="H2" s="20"/>
      <c r="I2" s="20" t="s">
        <v>81</v>
      </c>
      <c r="J2" s="20"/>
      <c r="K2" s="20" t="s">
        <v>80</v>
      </c>
      <c r="L2" s="20" t="s">
        <v>79</v>
      </c>
      <c r="M2" s="20" t="s">
        <v>78</v>
      </c>
    </row>
    <row r="3" spans="1:13" s="1" customFormat="1" x14ac:dyDescent="0.25">
      <c r="A3" s="37" t="s">
        <v>1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</row>
    <row r="4" spans="1:13" x14ac:dyDescent="0.25">
      <c r="A4" s="38"/>
      <c r="B4" s="39" t="s">
        <v>64</v>
      </c>
      <c r="C4" s="39" t="s">
        <v>65</v>
      </c>
      <c r="D4" s="39" t="s">
        <v>66</v>
      </c>
      <c r="E4" s="39" t="s">
        <v>67</v>
      </c>
      <c r="F4" s="39" t="s">
        <v>68</v>
      </c>
      <c r="G4" s="39" t="s">
        <v>69</v>
      </c>
      <c r="H4" s="39" t="s">
        <v>70</v>
      </c>
      <c r="I4" s="39" t="s">
        <v>71</v>
      </c>
      <c r="J4" s="39" t="s">
        <v>72</v>
      </c>
      <c r="K4" s="39" t="s">
        <v>73</v>
      </c>
      <c r="L4" s="39" t="s">
        <v>74</v>
      </c>
      <c r="M4" s="39" t="s">
        <v>75</v>
      </c>
    </row>
    <row r="5" spans="1:13" x14ac:dyDescent="0.25">
      <c r="A5" s="26" t="s">
        <v>30</v>
      </c>
      <c r="B5" s="19">
        <v>1000</v>
      </c>
      <c r="C5" s="19">
        <f>B28</f>
        <v>490</v>
      </c>
      <c r="D5" s="19">
        <f t="shared" ref="D5:M5" si="0">C28</f>
        <v>1271.8000000000002</v>
      </c>
      <c r="E5" s="19">
        <f t="shared" si="0"/>
        <v>1611</v>
      </c>
      <c r="F5" s="19">
        <f t="shared" si="0"/>
        <v>1950.1999999999998</v>
      </c>
      <c r="G5" s="19">
        <f t="shared" si="0"/>
        <v>2289.3999999999996</v>
      </c>
      <c r="H5" s="19">
        <f t="shared" si="0"/>
        <v>3146.3999999999996</v>
      </c>
      <c r="I5" s="19">
        <f t="shared" si="0"/>
        <v>3457.3999999999996</v>
      </c>
      <c r="J5" s="19">
        <f t="shared" si="0"/>
        <v>4284.3999999999996</v>
      </c>
      <c r="K5" s="19">
        <f t="shared" si="0"/>
        <v>5743.5999999999995</v>
      </c>
      <c r="L5" s="19">
        <f t="shared" si="0"/>
        <v>6677.4</v>
      </c>
      <c r="M5" s="19">
        <f t="shared" si="0"/>
        <v>7598.4</v>
      </c>
    </row>
    <row r="6" spans="1:13" x14ac:dyDescent="0.25">
      <c r="A6" s="26"/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</row>
    <row r="7" spans="1:13" x14ac:dyDescent="0.25">
      <c r="A7" s="26" t="s">
        <v>33</v>
      </c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</row>
    <row r="8" spans="1:13" x14ac:dyDescent="0.25">
      <c r="A8" s="15" t="s">
        <v>32</v>
      </c>
      <c r="B8" s="19">
        <v>0</v>
      </c>
      <c r="C8" s="19">
        <f>'Income Statement Year 1 '!C25</f>
        <v>1746.8</v>
      </c>
      <c r="D8" s="19">
        <f>'Income Statement Year 1 '!D25</f>
        <v>849.2</v>
      </c>
      <c r="E8" s="19">
        <f>'Income Statement Year 1 '!E25</f>
        <v>849.2</v>
      </c>
      <c r="F8" s="19">
        <f>'Income Statement Year 1 '!F25</f>
        <v>849.2</v>
      </c>
      <c r="G8" s="19">
        <f>'Income Statement Year 1 '!G25</f>
        <v>1782</v>
      </c>
      <c r="H8" s="19">
        <f>'Income Statement Year 1 '!H25</f>
        <v>836</v>
      </c>
      <c r="I8" s="19">
        <f>'Income Statement Year 1 '!I25</f>
        <v>2002</v>
      </c>
      <c r="J8" s="19">
        <f>'Income Statement Year 1 '!J25</f>
        <v>2169.1999999999998</v>
      </c>
      <c r="K8" s="19">
        <f>'Income Statement Year 1 '!K25</f>
        <v>2098.8000000000002</v>
      </c>
      <c r="L8" s="19">
        <f>'Income Statement Year 1 '!L25</f>
        <v>2046</v>
      </c>
      <c r="M8" s="19">
        <f>'Income Statement Year 1 '!M10</f>
        <v>6100</v>
      </c>
    </row>
    <row r="9" spans="1:13" x14ac:dyDescent="0.25">
      <c r="A9" s="15"/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</row>
    <row r="10" spans="1:13" s="1" customFormat="1" x14ac:dyDescent="0.25">
      <c r="A10" s="29" t="s">
        <v>34</v>
      </c>
      <c r="B10" s="40">
        <f>SUM(B5:B9)</f>
        <v>1000</v>
      </c>
      <c r="C10" s="40">
        <f t="shared" ref="C10:M10" si="1">SUM(C5:C9)</f>
        <v>2236.8000000000002</v>
      </c>
      <c r="D10" s="40">
        <f t="shared" si="1"/>
        <v>2121</v>
      </c>
      <c r="E10" s="40">
        <f t="shared" si="1"/>
        <v>2460.1999999999998</v>
      </c>
      <c r="F10" s="40">
        <f t="shared" si="1"/>
        <v>2799.3999999999996</v>
      </c>
      <c r="G10" s="40">
        <f t="shared" si="1"/>
        <v>4071.3999999999996</v>
      </c>
      <c r="H10" s="40">
        <f t="shared" si="1"/>
        <v>3982.3999999999996</v>
      </c>
      <c r="I10" s="40">
        <f>SUM(I5:I9)</f>
        <v>5459.4</v>
      </c>
      <c r="J10" s="40">
        <f t="shared" si="1"/>
        <v>6453.5999999999995</v>
      </c>
      <c r="K10" s="40">
        <f t="shared" si="1"/>
        <v>7842.4</v>
      </c>
      <c r="L10" s="40">
        <f t="shared" si="1"/>
        <v>8723.4</v>
      </c>
      <c r="M10" s="40">
        <f t="shared" si="1"/>
        <v>13698.4</v>
      </c>
    </row>
    <row r="11" spans="1:13" x14ac:dyDescent="0.25">
      <c r="A11" s="26"/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</row>
    <row r="12" spans="1:13" s="1" customFormat="1" x14ac:dyDescent="0.25">
      <c r="A12" s="29" t="s">
        <v>41</v>
      </c>
      <c r="B12" s="40">
        <f>B10</f>
        <v>1000</v>
      </c>
      <c r="C12" s="40">
        <f>C10</f>
        <v>2236.8000000000002</v>
      </c>
      <c r="D12" s="40">
        <f t="shared" ref="D12:L12" si="2">D10</f>
        <v>2121</v>
      </c>
      <c r="E12" s="40">
        <f t="shared" si="2"/>
        <v>2460.1999999999998</v>
      </c>
      <c r="F12" s="40">
        <f t="shared" si="2"/>
        <v>2799.3999999999996</v>
      </c>
      <c r="G12" s="40">
        <f t="shared" si="2"/>
        <v>4071.3999999999996</v>
      </c>
      <c r="H12" s="40">
        <f t="shared" si="2"/>
        <v>3982.3999999999996</v>
      </c>
      <c r="I12" s="40">
        <f t="shared" si="2"/>
        <v>5459.4</v>
      </c>
      <c r="J12" s="40">
        <f t="shared" si="2"/>
        <v>6453.5999999999995</v>
      </c>
      <c r="K12" s="40">
        <f t="shared" si="2"/>
        <v>7842.4</v>
      </c>
      <c r="L12" s="40">
        <f t="shared" si="2"/>
        <v>8723.4</v>
      </c>
      <c r="M12" s="40">
        <f t="shared" ref="M12" si="3">M5+M10</f>
        <v>21296.799999999999</v>
      </c>
    </row>
    <row r="13" spans="1:13" x14ac:dyDescent="0.25">
      <c r="A13" s="15"/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</row>
    <row r="14" spans="1:13" x14ac:dyDescent="0.25">
      <c r="A14" s="26" t="s">
        <v>35</v>
      </c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</row>
    <row r="15" spans="1:13" x14ac:dyDescent="0.25">
      <c r="A15" s="15" t="s">
        <v>36</v>
      </c>
      <c r="B15" s="19">
        <f>'Income Statement Year 1 '!B17</f>
        <v>400</v>
      </c>
      <c r="C15" s="19">
        <f>'Income Statement Year 1 '!C17</f>
        <v>800</v>
      </c>
      <c r="D15" s="19">
        <f>'Income Statement Year 1 '!D17</f>
        <v>400</v>
      </c>
      <c r="E15" s="19">
        <f>'Income Statement Year 1 '!E17</f>
        <v>400</v>
      </c>
      <c r="F15" s="19">
        <f>'Income Statement Year 1 '!F17</f>
        <v>400</v>
      </c>
      <c r="G15" s="19">
        <f>'Income Statement Year 1 '!G17</f>
        <v>800</v>
      </c>
      <c r="H15" s="19">
        <f>'Income Statement Year 1 '!H17</f>
        <v>400</v>
      </c>
      <c r="I15" s="19">
        <f>'Income Statement Year 1 '!I17</f>
        <v>1000</v>
      </c>
      <c r="J15" s="19">
        <f>'Income Statement Year 1 '!J17</f>
        <v>600</v>
      </c>
      <c r="K15" s="19">
        <f>'Income Statement Year 1 '!K17</f>
        <v>1040</v>
      </c>
      <c r="L15" s="19">
        <f>'Income Statement Year 1 '!L17</f>
        <v>1000</v>
      </c>
      <c r="M15" s="19">
        <f>'Income Statement Year 1 '!M17</f>
        <v>1000</v>
      </c>
    </row>
    <row r="16" spans="1:13" x14ac:dyDescent="0.25">
      <c r="A16" s="15" t="s">
        <v>22</v>
      </c>
      <c r="B16" s="20">
        <f>'Income Statement Year 1 '!B18</f>
        <v>41.666666666666664</v>
      </c>
      <c r="C16" s="20">
        <f>'Income Statement Year 1 '!C18</f>
        <v>41.666666666666664</v>
      </c>
      <c r="D16" s="20">
        <f>'Income Statement Year 1 '!D18</f>
        <v>41.666666666666664</v>
      </c>
      <c r="E16" s="20">
        <f>'Income Statement Year 1 '!E18</f>
        <v>41.666666666666664</v>
      </c>
      <c r="F16" s="20">
        <f>'Income Statement Year 1 '!F18</f>
        <v>41.666666666666664</v>
      </c>
      <c r="G16" s="20">
        <f>'Income Statement Year 1 '!G18</f>
        <v>41.666666666666664</v>
      </c>
      <c r="H16" s="20">
        <f>'Income Statement Year 1 '!H18</f>
        <v>41.666666666666664</v>
      </c>
      <c r="I16" s="20">
        <f>'Income Statement Year 1 '!I18</f>
        <v>41.666666666666664</v>
      </c>
      <c r="J16" s="20">
        <f>'Income Statement Year 1 '!J18</f>
        <v>41.666666666666664</v>
      </c>
      <c r="K16" s="20">
        <f>'Income Statement Year 1 '!K18</f>
        <v>41.666666666666664</v>
      </c>
      <c r="L16" s="20">
        <f>'Income Statement Year 1 '!L18</f>
        <v>41.666666666666664</v>
      </c>
      <c r="M16" s="20">
        <f>'Income Statement Year 1 '!M18</f>
        <v>41.666666666666664</v>
      </c>
    </row>
    <row r="17" spans="1:13" x14ac:dyDescent="0.25">
      <c r="A17" s="15" t="s">
        <v>86</v>
      </c>
      <c r="B17" s="19">
        <f>'Income Statement Year 1 '!B19</f>
        <v>33.333333333333336</v>
      </c>
      <c r="C17" s="19">
        <f>'Income Statement Year 1 '!C19</f>
        <v>33.333333333333336</v>
      </c>
      <c r="D17" s="19">
        <f>'Income Statement Year 1 '!D19</f>
        <v>33.333333333333336</v>
      </c>
      <c r="E17" s="19">
        <f>'Income Statement Year 1 '!E19</f>
        <v>33.333333333333336</v>
      </c>
      <c r="F17" s="19">
        <f>'Income Statement Year 1 '!F19</f>
        <v>33.333333333333336</v>
      </c>
      <c r="G17" s="19">
        <f>'Income Statement Year 1 '!G19</f>
        <v>33.333333333333336</v>
      </c>
      <c r="H17" s="19">
        <f>'Income Statement Year 1 '!H19</f>
        <v>33.333333333333336</v>
      </c>
      <c r="I17" s="19">
        <f>'Income Statement Year 1 '!I19</f>
        <v>33.333333333333336</v>
      </c>
      <c r="J17" s="19">
        <f>'Income Statement Year 1 '!J19</f>
        <v>33.333333333333336</v>
      </c>
      <c r="K17" s="19">
        <f>'Income Statement Year 1 '!K19</f>
        <v>33.333333333333336</v>
      </c>
      <c r="L17" s="19">
        <f>'Income Statement Year 1 '!L19</f>
        <v>33.333333333333336</v>
      </c>
      <c r="M17" s="19">
        <f>'Income Statement Year 1 '!M19</f>
        <v>33.333333333333336</v>
      </c>
    </row>
    <row r="18" spans="1:13" x14ac:dyDescent="0.25">
      <c r="A18" s="15" t="s">
        <v>62</v>
      </c>
      <c r="B18" s="19">
        <f>'Income Statement Year 1 '!B20</f>
        <v>35</v>
      </c>
      <c r="C18" s="19">
        <f>'Income Statement Year 1 '!C20</f>
        <v>90</v>
      </c>
      <c r="D18" s="19">
        <f>'Income Statement Year 1 '!D20</f>
        <v>35</v>
      </c>
      <c r="E18" s="19">
        <f>'Income Statement Year 1 '!E20</f>
        <v>35</v>
      </c>
      <c r="F18" s="19">
        <f>'Income Statement Year 1 '!F20</f>
        <v>35</v>
      </c>
      <c r="G18" s="19">
        <f>'Income Statement Year 1 '!G20</f>
        <v>50</v>
      </c>
      <c r="H18" s="19">
        <f>'Income Statement Year 1 '!H20</f>
        <v>50</v>
      </c>
      <c r="I18" s="19">
        <f>'Income Statement Year 1 '!I20</f>
        <v>100</v>
      </c>
      <c r="J18" s="19">
        <f>'Income Statement Year 1 '!J20</f>
        <v>35</v>
      </c>
      <c r="K18" s="19">
        <f>'Income Statement Year 1 '!K20</f>
        <v>50</v>
      </c>
      <c r="L18" s="19">
        <f>'Income Statement Year 1 '!L20</f>
        <v>50</v>
      </c>
      <c r="M18" s="19">
        <f>'Income Statement Year 1 '!M20</f>
        <v>100</v>
      </c>
    </row>
    <row r="19" spans="1:13" s="1" customFormat="1" x14ac:dyDescent="0.25">
      <c r="A19" s="41" t="s">
        <v>37</v>
      </c>
      <c r="B19" s="32">
        <f>SUM(B15:B18)</f>
        <v>510</v>
      </c>
      <c r="C19" s="32">
        <f t="shared" ref="C19:M19" si="4">SUM(C15:C18)</f>
        <v>965</v>
      </c>
      <c r="D19" s="32">
        <f t="shared" si="4"/>
        <v>510</v>
      </c>
      <c r="E19" s="32">
        <f t="shared" si="4"/>
        <v>510</v>
      </c>
      <c r="F19" s="32">
        <f t="shared" si="4"/>
        <v>510</v>
      </c>
      <c r="G19" s="32">
        <f t="shared" si="4"/>
        <v>925</v>
      </c>
      <c r="H19" s="32">
        <f t="shared" si="4"/>
        <v>525</v>
      </c>
      <c r="I19" s="32">
        <f t="shared" si="4"/>
        <v>1175</v>
      </c>
      <c r="J19" s="32">
        <f t="shared" si="4"/>
        <v>710</v>
      </c>
      <c r="K19" s="32">
        <f t="shared" si="4"/>
        <v>1165</v>
      </c>
      <c r="L19" s="32">
        <f t="shared" si="4"/>
        <v>1125</v>
      </c>
      <c r="M19" s="32">
        <f t="shared" si="4"/>
        <v>1175</v>
      </c>
    </row>
    <row r="20" spans="1:13" x14ac:dyDescent="0.25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</row>
    <row r="21" spans="1:13" s="1" customFormat="1" x14ac:dyDescent="0.25">
      <c r="A21" s="31" t="s">
        <v>38</v>
      </c>
      <c r="B21" s="42">
        <f t="shared" ref="B21:M21" si="5">B19</f>
        <v>510</v>
      </c>
      <c r="C21" s="42">
        <f t="shared" si="5"/>
        <v>965</v>
      </c>
      <c r="D21" s="42">
        <f t="shared" si="5"/>
        <v>510</v>
      </c>
      <c r="E21" s="42">
        <f t="shared" si="5"/>
        <v>510</v>
      </c>
      <c r="F21" s="42">
        <f t="shared" si="5"/>
        <v>510</v>
      </c>
      <c r="G21" s="42">
        <f t="shared" si="5"/>
        <v>925</v>
      </c>
      <c r="H21" s="42">
        <f t="shared" si="5"/>
        <v>525</v>
      </c>
      <c r="I21" s="42">
        <f t="shared" si="5"/>
        <v>1175</v>
      </c>
      <c r="J21" s="42">
        <f t="shared" si="5"/>
        <v>710</v>
      </c>
      <c r="K21" s="42">
        <f t="shared" si="5"/>
        <v>1165</v>
      </c>
      <c r="L21" s="42">
        <f t="shared" si="5"/>
        <v>1125</v>
      </c>
      <c r="M21" s="42">
        <f t="shared" si="5"/>
        <v>1175</v>
      </c>
    </row>
    <row r="22" spans="1:13" x14ac:dyDescent="0.25">
      <c r="A22" s="15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</row>
    <row r="23" spans="1:13" x14ac:dyDescent="0.25">
      <c r="A23" s="15" t="s">
        <v>39</v>
      </c>
      <c r="B23" s="20">
        <f t="shared" ref="B23:M23" si="6">B10</f>
        <v>1000</v>
      </c>
      <c r="C23" s="20">
        <f t="shared" si="6"/>
        <v>2236.8000000000002</v>
      </c>
      <c r="D23" s="20">
        <f t="shared" si="6"/>
        <v>2121</v>
      </c>
      <c r="E23" s="20">
        <f t="shared" si="6"/>
        <v>2460.1999999999998</v>
      </c>
      <c r="F23" s="20">
        <f t="shared" si="6"/>
        <v>2799.3999999999996</v>
      </c>
      <c r="G23" s="20">
        <f t="shared" si="6"/>
        <v>4071.3999999999996</v>
      </c>
      <c r="H23" s="20">
        <f t="shared" si="6"/>
        <v>3982.3999999999996</v>
      </c>
      <c r="I23" s="20">
        <f t="shared" si="6"/>
        <v>5459.4</v>
      </c>
      <c r="J23" s="20">
        <f t="shared" si="6"/>
        <v>6453.5999999999995</v>
      </c>
      <c r="K23" s="20">
        <f t="shared" si="6"/>
        <v>7842.4</v>
      </c>
      <c r="L23" s="20">
        <f t="shared" si="6"/>
        <v>8723.4</v>
      </c>
      <c r="M23" s="20">
        <f t="shared" si="6"/>
        <v>13698.4</v>
      </c>
    </row>
    <row r="24" spans="1:13" x14ac:dyDescent="0.25">
      <c r="A24" s="15" t="s">
        <v>40</v>
      </c>
      <c r="B24" s="20">
        <f>B21</f>
        <v>510</v>
      </c>
      <c r="C24" s="20">
        <f t="shared" ref="C24:M24" si="7">C21</f>
        <v>965</v>
      </c>
      <c r="D24" s="20">
        <f t="shared" si="7"/>
        <v>510</v>
      </c>
      <c r="E24" s="20">
        <f t="shared" si="7"/>
        <v>510</v>
      </c>
      <c r="F24" s="20">
        <f t="shared" si="7"/>
        <v>510</v>
      </c>
      <c r="G24" s="20">
        <f t="shared" si="7"/>
        <v>925</v>
      </c>
      <c r="H24" s="20">
        <f t="shared" si="7"/>
        <v>525</v>
      </c>
      <c r="I24" s="20">
        <f t="shared" si="7"/>
        <v>1175</v>
      </c>
      <c r="J24" s="20">
        <f t="shared" si="7"/>
        <v>710</v>
      </c>
      <c r="K24" s="20">
        <f t="shared" si="7"/>
        <v>1165</v>
      </c>
      <c r="L24" s="20">
        <f t="shared" si="7"/>
        <v>1125</v>
      </c>
      <c r="M24" s="20">
        <f t="shared" si="7"/>
        <v>1175</v>
      </c>
    </row>
    <row r="25" spans="1:13" x14ac:dyDescent="0.25">
      <c r="A25" s="15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</row>
    <row r="26" spans="1:13" s="1" customFormat="1" x14ac:dyDescent="0.25">
      <c r="A26" s="31" t="s">
        <v>42</v>
      </c>
      <c r="B26" s="42">
        <f>B23-B24</f>
        <v>490</v>
      </c>
      <c r="C26" s="42">
        <f t="shared" ref="C26:M26" si="8">C23-C24</f>
        <v>1271.8000000000002</v>
      </c>
      <c r="D26" s="42">
        <f t="shared" si="8"/>
        <v>1611</v>
      </c>
      <c r="E26" s="42">
        <f t="shared" si="8"/>
        <v>1950.1999999999998</v>
      </c>
      <c r="F26" s="42">
        <f t="shared" si="8"/>
        <v>2289.3999999999996</v>
      </c>
      <c r="G26" s="42">
        <f t="shared" si="8"/>
        <v>3146.3999999999996</v>
      </c>
      <c r="H26" s="42">
        <f t="shared" si="8"/>
        <v>3457.3999999999996</v>
      </c>
      <c r="I26" s="42">
        <f t="shared" si="8"/>
        <v>4284.3999999999996</v>
      </c>
      <c r="J26" s="42">
        <f t="shared" si="8"/>
        <v>5743.5999999999995</v>
      </c>
      <c r="K26" s="42">
        <f t="shared" si="8"/>
        <v>6677.4</v>
      </c>
      <c r="L26" s="42">
        <f t="shared" si="8"/>
        <v>7598.4</v>
      </c>
      <c r="M26" s="42">
        <f t="shared" si="8"/>
        <v>12523.4</v>
      </c>
    </row>
    <row r="27" spans="1:13" x14ac:dyDescent="0.25">
      <c r="A27" s="15" t="s">
        <v>43</v>
      </c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</row>
    <row r="28" spans="1:13" s="1" customFormat="1" x14ac:dyDescent="0.25">
      <c r="A28" s="33" t="s">
        <v>44</v>
      </c>
      <c r="B28" s="43">
        <f>B26-B27</f>
        <v>490</v>
      </c>
      <c r="C28" s="43">
        <f t="shared" ref="C28:M28" si="9">C26-C27</f>
        <v>1271.8000000000002</v>
      </c>
      <c r="D28" s="43">
        <f t="shared" si="9"/>
        <v>1611</v>
      </c>
      <c r="E28" s="43">
        <f t="shared" si="9"/>
        <v>1950.1999999999998</v>
      </c>
      <c r="F28" s="43">
        <f t="shared" si="9"/>
        <v>2289.3999999999996</v>
      </c>
      <c r="G28" s="43">
        <f t="shared" si="9"/>
        <v>3146.3999999999996</v>
      </c>
      <c r="H28" s="43">
        <f t="shared" si="9"/>
        <v>3457.3999999999996</v>
      </c>
      <c r="I28" s="43">
        <f t="shared" si="9"/>
        <v>4284.3999999999996</v>
      </c>
      <c r="J28" s="43">
        <f t="shared" si="9"/>
        <v>5743.5999999999995</v>
      </c>
      <c r="K28" s="43">
        <f t="shared" si="9"/>
        <v>6677.4</v>
      </c>
      <c r="L28" s="43">
        <f t="shared" si="9"/>
        <v>7598.4</v>
      </c>
      <c r="M28" s="43">
        <f t="shared" si="9"/>
        <v>12523.4</v>
      </c>
    </row>
    <row r="30" spans="1:13" x14ac:dyDescent="0.25">
      <c r="M30" s="60"/>
    </row>
    <row r="32" spans="1:13" ht="17.25" x14ac:dyDescent="0.25">
      <c r="C32" s="2"/>
    </row>
  </sheetData>
  <mergeCells count="1">
    <mergeCell ref="A1:M1"/>
  </mergeCells>
  <phoneticPr fontId="2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2B9F0B-535E-40EE-890C-9CBCD62599B8}">
  <dimension ref="A1:N41"/>
  <sheetViews>
    <sheetView topLeftCell="F23" zoomScale="85" zoomScaleNormal="85" workbookViewId="0">
      <selection activeCell="F43" sqref="F43"/>
    </sheetView>
  </sheetViews>
  <sheetFormatPr defaultColWidth="37.25" defaultRowHeight="15.75" x14ac:dyDescent="0.25"/>
  <cols>
    <col min="1" max="1" width="37.375" bestFit="1" customWidth="1"/>
    <col min="2" max="8" width="11.625" bestFit="1" customWidth="1"/>
    <col min="9" max="9" width="14.625" bestFit="1" customWidth="1"/>
    <col min="10" max="10" width="11.625" bestFit="1" customWidth="1"/>
    <col min="11" max="11" width="13.625" bestFit="1" customWidth="1"/>
    <col min="12" max="13" width="11.625" bestFit="1" customWidth="1"/>
  </cols>
  <sheetData>
    <row r="1" spans="1:13" ht="57" x14ac:dyDescent="0.9">
      <c r="A1" s="67" t="s">
        <v>82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</row>
    <row r="2" spans="1:13" ht="39" customHeight="1" x14ac:dyDescent="0.9">
      <c r="A2" s="35"/>
      <c r="B2" s="20" t="s">
        <v>77</v>
      </c>
      <c r="C2" s="20" t="s">
        <v>76</v>
      </c>
      <c r="D2" s="20"/>
      <c r="E2" s="20"/>
      <c r="F2" s="20"/>
      <c r="G2" s="20" t="s">
        <v>113</v>
      </c>
      <c r="H2" s="20"/>
      <c r="I2" s="20" t="s">
        <v>81</v>
      </c>
      <c r="J2" s="20"/>
      <c r="K2" s="20" t="s">
        <v>80</v>
      </c>
      <c r="L2" s="20" t="s">
        <v>79</v>
      </c>
      <c r="M2" s="20" t="s">
        <v>78</v>
      </c>
    </row>
    <row r="3" spans="1:13" s="1" customFormat="1" x14ac:dyDescent="0.25">
      <c r="A3" s="44" t="s">
        <v>1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</row>
    <row r="4" spans="1:13" x14ac:dyDescent="0.25">
      <c r="A4" s="45"/>
      <c r="B4" s="46" t="s">
        <v>64</v>
      </c>
      <c r="C4" s="46" t="s">
        <v>65</v>
      </c>
      <c r="D4" s="46" t="s">
        <v>66</v>
      </c>
      <c r="E4" s="46" t="s">
        <v>67</v>
      </c>
      <c r="F4" s="46" t="s">
        <v>68</v>
      </c>
      <c r="G4" s="46" t="s">
        <v>69</v>
      </c>
      <c r="H4" s="46" t="s">
        <v>70</v>
      </c>
      <c r="I4" s="46" t="s">
        <v>71</v>
      </c>
      <c r="J4" s="46" t="s">
        <v>72</v>
      </c>
      <c r="K4" s="46" t="s">
        <v>73</v>
      </c>
      <c r="L4" s="46" t="s">
        <v>74</v>
      </c>
      <c r="M4" s="46" t="s">
        <v>75</v>
      </c>
    </row>
    <row r="5" spans="1:13" x14ac:dyDescent="0.25">
      <c r="A5" s="26" t="s">
        <v>30</v>
      </c>
      <c r="B5" s="19">
        <f>'Cash Flow Year 1 '!M28</f>
        <v>12523.4</v>
      </c>
      <c r="C5" s="19">
        <f t="shared" ref="C5:M5" si="0">B29</f>
        <v>13456.933333333332</v>
      </c>
      <c r="D5" s="19">
        <f t="shared" si="0"/>
        <v>14315.266666666665</v>
      </c>
      <c r="E5" s="19">
        <f t="shared" si="0"/>
        <v>14715.333333333332</v>
      </c>
      <c r="F5" s="19">
        <f t="shared" si="0"/>
        <v>15115.4</v>
      </c>
      <c r="G5" s="19">
        <f t="shared" si="0"/>
        <v>15506.066666666668</v>
      </c>
      <c r="H5" s="19">
        <f t="shared" si="0"/>
        <v>16454.800000000003</v>
      </c>
      <c r="I5" s="19">
        <f t="shared" si="0"/>
        <v>16864.26666666667</v>
      </c>
      <c r="J5" s="19">
        <f t="shared" si="0"/>
        <v>18486.733333333334</v>
      </c>
      <c r="K5" s="19">
        <f t="shared" si="0"/>
        <v>19401.399999999998</v>
      </c>
      <c r="L5" s="19">
        <f t="shared" si="0"/>
        <v>21213.466666666664</v>
      </c>
      <c r="M5" s="19">
        <f t="shared" si="0"/>
        <v>22873.533333333329</v>
      </c>
    </row>
    <row r="6" spans="1:13" x14ac:dyDescent="0.25">
      <c r="A6" s="26"/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</row>
    <row r="7" spans="1:13" x14ac:dyDescent="0.25">
      <c r="A7" s="26" t="s">
        <v>33</v>
      </c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</row>
    <row r="8" spans="1:13" x14ac:dyDescent="0.25">
      <c r="A8" s="15" t="s">
        <v>32</v>
      </c>
      <c r="B8" s="19">
        <f>'Income Statement Year 2'!B25</f>
        <v>2051.8666666666668</v>
      </c>
      <c r="C8" s="19">
        <f>'Income Statement Year 2'!C25</f>
        <v>2016.6666666666665</v>
      </c>
      <c r="D8" s="19">
        <f>'Income Statement Year 2'!D25</f>
        <v>1111.7333333333336</v>
      </c>
      <c r="E8" s="19">
        <f>'Income Statement Year 2'!E25</f>
        <v>1111.7333333333336</v>
      </c>
      <c r="F8" s="19">
        <f>'Income Statement Year 2'!F25</f>
        <v>1107.3333333333335</v>
      </c>
      <c r="G8" s="19">
        <f>'Income Statement Year 2'!G25</f>
        <v>2527.0666666666666</v>
      </c>
      <c r="H8" s="19">
        <f>'Income Statement Year 2'!H25</f>
        <v>1116.1333333333334</v>
      </c>
      <c r="I8" s="19">
        <f>'Income Statement Year 2'!I25</f>
        <v>3404.1333333333332</v>
      </c>
      <c r="J8" s="19">
        <f>'Income Statement Year 2'!J25</f>
        <v>2031.333333333333</v>
      </c>
      <c r="K8" s="19">
        <f>'Income Statement Year 2'!K25</f>
        <v>3773.7333333333331</v>
      </c>
      <c r="L8" s="19">
        <f>'Income Statement Year 2'!L25</f>
        <v>3421.7333333333331</v>
      </c>
      <c r="M8" s="19">
        <f>'Income Statement Year 2'!M10</f>
        <v>11900</v>
      </c>
    </row>
    <row r="9" spans="1:13" x14ac:dyDescent="0.25">
      <c r="A9" s="15"/>
      <c r="B9" s="20">
        <v>0</v>
      </c>
      <c r="C9" s="20">
        <v>0</v>
      </c>
      <c r="D9" s="20">
        <v>0</v>
      </c>
      <c r="E9" s="20">
        <v>0</v>
      </c>
      <c r="F9" s="20">
        <v>0</v>
      </c>
      <c r="G9" s="20">
        <v>0</v>
      </c>
      <c r="H9" s="20">
        <v>0</v>
      </c>
      <c r="I9" s="20">
        <v>0</v>
      </c>
      <c r="J9" s="20">
        <v>0</v>
      </c>
      <c r="K9" s="20">
        <v>0</v>
      </c>
      <c r="L9" s="20">
        <v>0</v>
      </c>
      <c r="M9" s="20">
        <v>0</v>
      </c>
    </row>
    <row r="10" spans="1:13" s="1" customFormat="1" x14ac:dyDescent="0.25">
      <c r="A10" s="29" t="s">
        <v>34</v>
      </c>
      <c r="B10" s="40">
        <f>SUM(B5:B9)</f>
        <v>14575.266666666666</v>
      </c>
      <c r="C10" s="40">
        <f t="shared" ref="C10:L10" si="1">SUM(C5:C9)</f>
        <v>15473.599999999999</v>
      </c>
      <c r="D10" s="40">
        <f t="shared" si="1"/>
        <v>15426.999999999998</v>
      </c>
      <c r="E10" s="40">
        <f t="shared" si="1"/>
        <v>15827.066666666666</v>
      </c>
      <c r="F10" s="40">
        <f t="shared" si="1"/>
        <v>16222.733333333334</v>
      </c>
      <c r="G10" s="40">
        <f t="shared" si="1"/>
        <v>18033.133333333335</v>
      </c>
      <c r="H10" s="40">
        <f t="shared" si="1"/>
        <v>17570.933333333338</v>
      </c>
      <c r="I10" s="40">
        <f t="shared" si="1"/>
        <v>20268.400000000001</v>
      </c>
      <c r="J10" s="40">
        <f t="shared" si="1"/>
        <v>20518.066666666666</v>
      </c>
      <c r="K10" s="40">
        <f t="shared" si="1"/>
        <v>23175.133333333331</v>
      </c>
      <c r="L10" s="40">
        <f t="shared" si="1"/>
        <v>24635.199999999997</v>
      </c>
      <c r="M10" s="40">
        <f t="shared" ref="M10" si="2">SUM(M8:M9)</f>
        <v>11900</v>
      </c>
    </row>
    <row r="11" spans="1:13" x14ac:dyDescent="0.25">
      <c r="A11" s="26"/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</row>
    <row r="12" spans="1:13" s="1" customFormat="1" x14ac:dyDescent="0.25">
      <c r="A12" s="29" t="s">
        <v>41</v>
      </c>
      <c r="B12" s="40">
        <f>B10</f>
        <v>14575.266666666666</v>
      </c>
      <c r="C12" s="40">
        <f t="shared" ref="C12:L12" si="3">C10</f>
        <v>15473.599999999999</v>
      </c>
      <c r="D12" s="40">
        <f t="shared" si="3"/>
        <v>15426.999999999998</v>
      </c>
      <c r="E12" s="40">
        <f t="shared" si="3"/>
        <v>15827.066666666666</v>
      </c>
      <c r="F12" s="40">
        <f t="shared" si="3"/>
        <v>16222.733333333334</v>
      </c>
      <c r="G12" s="40">
        <f t="shared" si="3"/>
        <v>18033.133333333335</v>
      </c>
      <c r="H12" s="40">
        <f t="shared" si="3"/>
        <v>17570.933333333338</v>
      </c>
      <c r="I12" s="40">
        <f t="shared" si="3"/>
        <v>20268.400000000001</v>
      </c>
      <c r="J12" s="40">
        <f t="shared" si="3"/>
        <v>20518.066666666666</v>
      </c>
      <c r="K12" s="40">
        <f t="shared" si="3"/>
        <v>23175.133333333331</v>
      </c>
      <c r="L12" s="40">
        <f t="shared" si="3"/>
        <v>24635.199999999997</v>
      </c>
      <c r="M12" s="40">
        <f t="shared" ref="M12" si="4">M5+M10</f>
        <v>34773.533333333326</v>
      </c>
    </row>
    <row r="13" spans="1:13" x14ac:dyDescent="0.25">
      <c r="A13" s="15"/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</row>
    <row r="14" spans="1:13" x14ac:dyDescent="0.25">
      <c r="A14" s="26" t="s">
        <v>35</v>
      </c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</row>
    <row r="15" spans="1:13" x14ac:dyDescent="0.25">
      <c r="A15" s="15" t="s">
        <v>36</v>
      </c>
      <c r="B15" s="19">
        <f>'Income Statement Year 2'!B17</f>
        <v>1000</v>
      </c>
      <c r="C15" s="19">
        <f>'Income Statement Year 2'!C17</f>
        <v>1000</v>
      </c>
      <c r="D15" s="19">
        <f>'Income Statement Year 2'!D17</f>
        <v>600</v>
      </c>
      <c r="E15" s="19">
        <f>'Income Statement Year 2'!E17</f>
        <v>600</v>
      </c>
      <c r="F15" s="19">
        <f>'Income Statement Year 2'!F17</f>
        <v>600</v>
      </c>
      <c r="G15" s="19">
        <f>'Income Statement Year 2'!G17</f>
        <v>1400</v>
      </c>
      <c r="H15" s="19">
        <f>'Income Statement Year 2'!H17</f>
        <v>600</v>
      </c>
      <c r="I15" s="19">
        <f>'Income Statement Year 2'!I17</f>
        <v>1600</v>
      </c>
      <c r="J15" s="19">
        <f>'Income Statement Year 2'!J17</f>
        <v>1000</v>
      </c>
      <c r="K15" s="19">
        <f>'Income Statement Year 2'!K17</f>
        <v>1800</v>
      </c>
      <c r="L15" s="19">
        <f>'Income Statement Year 2'!L17</f>
        <v>1600</v>
      </c>
      <c r="M15" s="19">
        <f>'Income Statement Year 2'!M17</f>
        <v>1600</v>
      </c>
    </row>
    <row r="16" spans="1:13" x14ac:dyDescent="0.25">
      <c r="A16" s="15" t="s">
        <v>22</v>
      </c>
      <c r="B16" s="20">
        <f>'Income Statement Year 2'!B18</f>
        <v>41.666666666666664</v>
      </c>
      <c r="C16" s="20">
        <f>'Income Statement Year 2'!C18</f>
        <v>41.666666666666664</v>
      </c>
      <c r="D16" s="20">
        <f>'Income Statement Year 2'!D18</f>
        <v>41.666666666666664</v>
      </c>
      <c r="E16" s="20">
        <f>'Income Statement Year 2'!E18</f>
        <v>41.666666666666664</v>
      </c>
      <c r="F16" s="20">
        <f>'Income Statement Year 2'!F18</f>
        <v>41.666666666666664</v>
      </c>
      <c r="G16" s="20">
        <f>'Income Statement Year 2'!G18</f>
        <v>41.666666666666664</v>
      </c>
      <c r="H16" s="20">
        <f>'Income Statement Year 2'!H18</f>
        <v>41.666666666666664</v>
      </c>
      <c r="I16" s="20">
        <f>'Income Statement Year 2'!I18</f>
        <v>41.666666666666664</v>
      </c>
      <c r="J16" s="20">
        <f>'Income Statement Year 2'!J18</f>
        <v>41.666666666666664</v>
      </c>
      <c r="K16" s="20">
        <f>'Income Statement Year 2'!K18</f>
        <v>41.666666666666664</v>
      </c>
      <c r="L16" s="20">
        <f>'Income Statement Year 2'!L18</f>
        <v>41.666666666666664</v>
      </c>
      <c r="M16" s="20">
        <f>'Income Statement Year 2'!M18</f>
        <v>41.666666666666664</v>
      </c>
    </row>
    <row r="17" spans="1:14" x14ac:dyDescent="0.25">
      <c r="A17" s="15" t="s">
        <v>86</v>
      </c>
      <c r="B17" s="19">
        <f>'Income Statement Year 2'!B19</f>
        <v>36.666666666666664</v>
      </c>
      <c r="C17" s="19">
        <f>'Income Statement Year 2'!C19</f>
        <v>36.666666666666664</v>
      </c>
      <c r="D17" s="19">
        <f>'Income Statement Year 2'!D19</f>
        <v>30</v>
      </c>
      <c r="E17" s="19">
        <f>'Income Statement Year 2'!E19</f>
        <v>30</v>
      </c>
      <c r="F17" s="19">
        <f>'Income Statement Year 2'!F19</f>
        <v>30</v>
      </c>
      <c r="G17" s="19">
        <f>'Income Statement Year 2'!G19</f>
        <v>36.666666666666664</v>
      </c>
      <c r="H17" s="19">
        <f>'Income Statement Year 2'!H19</f>
        <v>30</v>
      </c>
      <c r="I17" s="19">
        <f>'Income Statement Year 2'!I19</f>
        <v>40</v>
      </c>
      <c r="J17" s="19">
        <f>'Income Statement Year 2'!J19</f>
        <v>30</v>
      </c>
      <c r="K17" s="19">
        <f>'Income Statement Year 2'!K19</f>
        <v>40</v>
      </c>
      <c r="L17" s="19">
        <f>'Income Statement Year 2'!L19</f>
        <v>40</v>
      </c>
      <c r="M17" s="19">
        <f>'Income Statement Year 2'!M19</f>
        <v>40</v>
      </c>
    </row>
    <row r="18" spans="1:14" x14ac:dyDescent="0.25">
      <c r="A18" s="15" t="s">
        <v>62</v>
      </c>
      <c r="B18" s="19">
        <f>'Income Statement Year 2'!B20</f>
        <v>40</v>
      </c>
      <c r="C18" s="19">
        <f>'Income Statement Year 2'!C20</f>
        <v>80</v>
      </c>
      <c r="D18" s="19">
        <f>'Income Statement Year 2'!D20</f>
        <v>40</v>
      </c>
      <c r="E18" s="19">
        <f>'Income Statement Year 2'!E20</f>
        <v>40</v>
      </c>
      <c r="F18" s="19">
        <f>'Income Statement Year 2'!F20</f>
        <v>45</v>
      </c>
      <c r="G18" s="19">
        <f>'Income Statement Year 2'!G20</f>
        <v>100</v>
      </c>
      <c r="H18" s="19">
        <f>'Income Statement Year 2'!H20</f>
        <v>35</v>
      </c>
      <c r="I18" s="19">
        <f>'Income Statement Year 2'!I20</f>
        <v>100</v>
      </c>
      <c r="J18" s="19">
        <f>'Income Statement Year 2'!J20</f>
        <v>45</v>
      </c>
      <c r="K18" s="19">
        <f>'Income Statement Year 2'!K20</f>
        <v>80</v>
      </c>
      <c r="L18" s="19">
        <f>'Income Statement Year 2'!L20</f>
        <v>80</v>
      </c>
      <c r="M18" s="19">
        <f>'Income Statement Year 2'!M20</f>
        <v>80</v>
      </c>
    </row>
    <row r="19" spans="1:14" s="1" customFormat="1" x14ac:dyDescent="0.25">
      <c r="A19" s="47" t="s">
        <v>37</v>
      </c>
      <c r="B19" s="48">
        <f>SUM(B15:B18)</f>
        <v>1118.3333333333335</v>
      </c>
      <c r="C19" s="48">
        <f t="shared" ref="C19:M19" si="5">SUM(C15:C18)</f>
        <v>1158.3333333333335</v>
      </c>
      <c r="D19" s="48">
        <f t="shared" si="5"/>
        <v>711.66666666666663</v>
      </c>
      <c r="E19" s="48">
        <f t="shared" si="5"/>
        <v>711.66666666666663</v>
      </c>
      <c r="F19" s="48">
        <f t="shared" si="5"/>
        <v>716.66666666666663</v>
      </c>
      <c r="G19" s="48">
        <f t="shared" si="5"/>
        <v>1578.3333333333335</v>
      </c>
      <c r="H19" s="48">
        <f t="shared" si="5"/>
        <v>706.66666666666663</v>
      </c>
      <c r="I19" s="48">
        <f t="shared" si="5"/>
        <v>1781.6666666666667</v>
      </c>
      <c r="J19" s="48">
        <f t="shared" si="5"/>
        <v>1116.6666666666667</v>
      </c>
      <c r="K19" s="48">
        <f t="shared" si="5"/>
        <v>1961.6666666666667</v>
      </c>
      <c r="L19" s="48">
        <f t="shared" si="5"/>
        <v>1761.6666666666667</v>
      </c>
      <c r="M19" s="48">
        <f t="shared" si="5"/>
        <v>1761.6666666666667</v>
      </c>
    </row>
    <row r="20" spans="1:14" x14ac:dyDescent="0.25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</row>
    <row r="21" spans="1:14" x14ac:dyDescent="0.25">
      <c r="A21" s="15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</row>
    <row r="22" spans="1:14" s="1" customFormat="1" x14ac:dyDescent="0.25">
      <c r="A22" s="49" t="s">
        <v>38</v>
      </c>
      <c r="B22" s="50">
        <f>B19</f>
        <v>1118.3333333333335</v>
      </c>
      <c r="C22" s="50">
        <f t="shared" ref="C22:M22" si="6">C19</f>
        <v>1158.3333333333335</v>
      </c>
      <c r="D22" s="50">
        <f t="shared" si="6"/>
        <v>711.66666666666663</v>
      </c>
      <c r="E22" s="50">
        <f t="shared" si="6"/>
        <v>711.66666666666663</v>
      </c>
      <c r="F22" s="50">
        <f t="shared" si="6"/>
        <v>716.66666666666663</v>
      </c>
      <c r="G22" s="50">
        <f t="shared" si="6"/>
        <v>1578.3333333333335</v>
      </c>
      <c r="H22" s="50">
        <f t="shared" si="6"/>
        <v>706.66666666666663</v>
      </c>
      <c r="I22" s="50">
        <f t="shared" si="6"/>
        <v>1781.6666666666667</v>
      </c>
      <c r="J22" s="50">
        <f t="shared" si="6"/>
        <v>1116.6666666666667</v>
      </c>
      <c r="K22" s="50">
        <f t="shared" si="6"/>
        <v>1961.6666666666667</v>
      </c>
      <c r="L22" s="50">
        <f t="shared" si="6"/>
        <v>1761.6666666666667</v>
      </c>
      <c r="M22" s="50">
        <f t="shared" si="6"/>
        <v>1761.6666666666667</v>
      </c>
    </row>
    <row r="23" spans="1:14" x14ac:dyDescent="0.25">
      <c r="A23" s="15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</row>
    <row r="24" spans="1:14" x14ac:dyDescent="0.25">
      <c r="A24" s="15" t="s">
        <v>39</v>
      </c>
      <c r="B24" s="20">
        <f t="shared" ref="B24:M24" si="7">B10</f>
        <v>14575.266666666666</v>
      </c>
      <c r="C24" s="20">
        <f t="shared" si="7"/>
        <v>15473.599999999999</v>
      </c>
      <c r="D24" s="20">
        <f t="shared" si="7"/>
        <v>15426.999999999998</v>
      </c>
      <c r="E24" s="20">
        <f t="shared" si="7"/>
        <v>15827.066666666666</v>
      </c>
      <c r="F24" s="20">
        <f t="shared" si="7"/>
        <v>16222.733333333334</v>
      </c>
      <c r="G24" s="20">
        <f t="shared" si="7"/>
        <v>18033.133333333335</v>
      </c>
      <c r="H24" s="20">
        <f t="shared" si="7"/>
        <v>17570.933333333338</v>
      </c>
      <c r="I24" s="20">
        <f t="shared" si="7"/>
        <v>20268.400000000001</v>
      </c>
      <c r="J24" s="20">
        <f t="shared" si="7"/>
        <v>20518.066666666666</v>
      </c>
      <c r="K24" s="20">
        <f t="shared" si="7"/>
        <v>23175.133333333331</v>
      </c>
      <c r="L24" s="20">
        <f t="shared" si="7"/>
        <v>24635.199999999997</v>
      </c>
      <c r="M24" s="20">
        <f t="shared" si="7"/>
        <v>11900</v>
      </c>
    </row>
    <row r="25" spans="1:14" x14ac:dyDescent="0.25">
      <c r="A25" s="15" t="s">
        <v>40</v>
      </c>
      <c r="B25" s="20">
        <f>B22</f>
        <v>1118.3333333333335</v>
      </c>
      <c r="C25" s="20">
        <f t="shared" ref="C25:M25" si="8">C22</f>
        <v>1158.3333333333335</v>
      </c>
      <c r="D25" s="20">
        <f t="shared" si="8"/>
        <v>711.66666666666663</v>
      </c>
      <c r="E25" s="20">
        <f t="shared" si="8"/>
        <v>711.66666666666663</v>
      </c>
      <c r="F25" s="20">
        <f t="shared" si="8"/>
        <v>716.66666666666663</v>
      </c>
      <c r="G25" s="20">
        <f t="shared" si="8"/>
        <v>1578.3333333333335</v>
      </c>
      <c r="H25" s="20">
        <f t="shared" si="8"/>
        <v>706.66666666666663</v>
      </c>
      <c r="I25" s="20">
        <f t="shared" si="8"/>
        <v>1781.6666666666667</v>
      </c>
      <c r="J25" s="20">
        <f t="shared" si="8"/>
        <v>1116.6666666666667</v>
      </c>
      <c r="K25" s="20">
        <f t="shared" si="8"/>
        <v>1961.6666666666667</v>
      </c>
      <c r="L25" s="20">
        <f t="shared" si="8"/>
        <v>1761.6666666666667</v>
      </c>
      <c r="M25" s="20">
        <f t="shared" si="8"/>
        <v>1761.6666666666667</v>
      </c>
    </row>
    <row r="26" spans="1:14" x14ac:dyDescent="0.25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</row>
    <row r="27" spans="1:14" s="1" customFormat="1" x14ac:dyDescent="0.25">
      <c r="A27" s="49" t="s">
        <v>42</v>
      </c>
      <c r="B27" s="50">
        <f>B24-B25</f>
        <v>13456.933333333332</v>
      </c>
      <c r="C27" s="50">
        <f t="shared" ref="C27:M27" si="9">C24-C25</f>
        <v>14315.266666666665</v>
      </c>
      <c r="D27" s="50">
        <f t="shared" si="9"/>
        <v>14715.333333333332</v>
      </c>
      <c r="E27" s="50">
        <f t="shared" si="9"/>
        <v>15115.4</v>
      </c>
      <c r="F27" s="50">
        <f t="shared" si="9"/>
        <v>15506.066666666668</v>
      </c>
      <c r="G27" s="50">
        <f t="shared" si="9"/>
        <v>16454.800000000003</v>
      </c>
      <c r="H27" s="50">
        <f t="shared" si="9"/>
        <v>16864.26666666667</v>
      </c>
      <c r="I27" s="50">
        <f t="shared" si="9"/>
        <v>18486.733333333334</v>
      </c>
      <c r="J27" s="50">
        <f t="shared" si="9"/>
        <v>19401.399999999998</v>
      </c>
      <c r="K27" s="50">
        <f t="shared" si="9"/>
        <v>21213.466666666664</v>
      </c>
      <c r="L27" s="50">
        <f t="shared" si="9"/>
        <v>22873.533333333329</v>
      </c>
      <c r="M27" s="50">
        <f t="shared" si="9"/>
        <v>10138.333333333334</v>
      </c>
    </row>
    <row r="28" spans="1:14" x14ac:dyDescent="0.25">
      <c r="A28" s="15" t="s">
        <v>43</v>
      </c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</row>
    <row r="29" spans="1:14" s="1" customFormat="1" x14ac:dyDescent="0.25">
      <c r="A29" s="33" t="s">
        <v>44</v>
      </c>
      <c r="B29" s="43">
        <f>B27-B28</f>
        <v>13456.933333333332</v>
      </c>
      <c r="C29" s="43">
        <f t="shared" ref="C29:M29" si="10">C27-C28</f>
        <v>14315.266666666665</v>
      </c>
      <c r="D29" s="43">
        <f t="shared" si="10"/>
        <v>14715.333333333332</v>
      </c>
      <c r="E29" s="43">
        <f t="shared" si="10"/>
        <v>15115.4</v>
      </c>
      <c r="F29" s="43">
        <f t="shared" si="10"/>
        <v>15506.066666666668</v>
      </c>
      <c r="G29" s="43">
        <f t="shared" si="10"/>
        <v>16454.800000000003</v>
      </c>
      <c r="H29" s="43">
        <f t="shared" si="10"/>
        <v>16864.26666666667</v>
      </c>
      <c r="I29" s="43">
        <f t="shared" si="10"/>
        <v>18486.733333333334</v>
      </c>
      <c r="J29" s="43">
        <f t="shared" si="10"/>
        <v>19401.399999999998</v>
      </c>
      <c r="K29" s="43">
        <f t="shared" si="10"/>
        <v>21213.466666666664</v>
      </c>
      <c r="L29" s="43">
        <f t="shared" si="10"/>
        <v>22873.533333333329</v>
      </c>
      <c r="M29" s="43">
        <f t="shared" si="10"/>
        <v>10138.333333333334</v>
      </c>
      <c r="N29" s="4"/>
    </row>
    <row r="30" spans="1:14" x14ac:dyDescent="0.25">
      <c r="N30" s="4"/>
    </row>
    <row r="31" spans="1:14" x14ac:dyDescent="0.25">
      <c r="N31" s="5"/>
    </row>
    <row r="32" spans="1:14" x14ac:dyDescent="0.25">
      <c r="N32" s="6"/>
    </row>
    <row r="33" spans="3:14" ht="17.25" x14ac:dyDescent="0.25">
      <c r="C33" s="2"/>
      <c r="N33" s="6"/>
    </row>
    <row r="34" spans="3:14" x14ac:dyDescent="0.25">
      <c r="N34" s="7"/>
    </row>
    <row r="35" spans="3:14" x14ac:dyDescent="0.25">
      <c r="N35" s="7"/>
    </row>
    <row r="36" spans="3:14" x14ac:dyDescent="0.25">
      <c r="N36" s="6"/>
    </row>
    <row r="37" spans="3:14" x14ac:dyDescent="0.25">
      <c r="N37" s="8"/>
    </row>
    <row r="38" spans="3:14" x14ac:dyDescent="0.25">
      <c r="N38" s="4"/>
    </row>
    <row r="39" spans="3:14" x14ac:dyDescent="0.25">
      <c r="N39" s="3"/>
    </row>
    <row r="40" spans="3:14" x14ac:dyDescent="0.25">
      <c r="N40" s="3"/>
    </row>
    <row r="41" spans="3:14" x14ac:dyDescent="0.25">
      <c r="N41" s="3"/>
    </row>
  </sheetData>
  <mergeCells count="1">
    <mergeCell ref="A1:M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0E707F-54E1-4F93-BC49-F81772D890C5}">
  <dimension ref="A1:N41"/>
  <sheetViews>
    <sheetView topLeftCell="A20" zoomScale="85" zoomScaleNormal="85" workbookViewId="0">
      <selection activeCell="A34" sqref="A34"/>
    </sheetView>
  </sheetViews>
  <sheetFormatPr defaultColWidth="10.625" defaultRowHeight="15.75" x14ac:dyDescent="0.25"/>
  <cols>
    <col min="1" max="1" width="37.375" bestFit="1" customWidth="1"/>
    <col min="2" max="8" width="11.625" bestFit="1" customWidth="1"/>
    <col min="9" max="9" width="14.625" bestFit="1" customWidth="1"/>
    <col min="10" max="10" width="11.625" bestFit="1" customWidth="1"/>
    <col min="11" max="11" width="13.625" bestFit="1" customWidth="1"/>
    <col min="12" max="13" width="11.625" bestFit="1" customWidth="1"/>
  </cols>
  <sheetData>
    <row r="1" spans="1:13" ht="57" x14ac:dyDescent="0.9">
      <c r="A1" s="67" t="s">
        <v>82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</row>
    <row r="2" spans="1:13" ht="40.5" customHeight="1" x14ac:dyDescent="0.9">
      <c r="A2" s="35"/>
      <c r="B2" s="20" t="s">
        <v>77</v>
      </c>
      <c r="C2" s="20" t="s">
        <v>76</v>
      </c>
      <c r="D2" s="20"/>
      <c r="E2" s="20"/>
      <c r="F2" s="20"/>
      <c r="G2" s="20" t="s">
        <v>113</v>
      </c>
      <c r="H2" s="20"/>
      <c r="I2" s="20" t="s">
        <v>81</v>
      </c>
      <c r="J2" s="20"/>
      <c r="K2" s="20" t="s">
        <v>80</v>
      </c>
      <c r="L2" s="20" t="s">
        <v>79</v>
      </c>
      <c r="M2" s="20" t="s">
        <v>78</v>
      </c>
    </row>
    <row r="3" spans="1:13" s="1" customFormat="1" x14ac:dyDescent="0.25">
      <c r="A3" s="44" t="s">
        <v>1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</row>
    <row r="4" spans="1:13" x14ac:dyDescent="0.25">
      <c r="A4" s="45"/>
      <c r="B4" s="46" t="s">
        <v>64</v>
      </c>
      <c r="C4" s="46" t="s">
        <v>65</v>
      </c>
      <c r="D4" s="46" t="s">
        <v>66</v>
      </c>
      <c r="E4" s="46" t="s">
        <v>67</v>
      </c>
      <c r="F4" s="46" t="s">
        <v>68</v>
      </c>
      <c r="G4" s="46" t="s">
        <v>69</v>
      </c>
      <c r="H4" s="46" t="s">
        <v>70</v>
      </c>
      <c r="I4" s="46" t="s">
        <v>71</v>
      </c>
      <c r="J4" s="46" t="s">
        <v>72</v>
      </c>
      <c r="K4" s="46" t="s">
        <v>73</v>
      </c>
      <c r="L4" s="46" t="s">
        <v>74</v>
      </c>
      <c r="M4" s="46" t="s">
        <v>75</v>
      </c>
    </row>
    <row r="5" spans="1:13" x14ac:dyDescent="0.25">
      <c r="A5" s="26" t="s">
        <v>30</v>
      </c>
      <c r="B5" s="19">
        <f>'Cash Flow Year 2'!M29</f>
        <v>10138.333333333334</v>
      </c>
      <c r="C5" s="19">
        <f t="shared" ref="C5:M5" si="0">B29</f>
        <v>13641.666666666668</v>
      </c>
      <c r="D5" s="19">
        <f t="shared" si="0"/>
        <v>9701.6666666666661</v>
      </c>
      <c r="E5" s="19">
        <f t="shared" si="0"/>
        <v>9741.6666666666661</v>
      </c>
      <c r="F5" s="19">
        <f t="shared" si="0"/>
        <v>7641.6666666666661</v>
      </c>
      <c r="G5" s="19">
        <f t="shared" si="0"/>
        <v>7641.6666666666661</v>
      </c>
      <c r="H5" s="19">
        <f t="shared" si="0"/>
        <v>16281.666666666668</v>
      </c>
      <c r="I5" s="19">
        <f t="shared" si="0"/>
        <v>9746.6666666666661</v>
      </c>
      <c r="J5" s="19">
        <f t="shared" si="0"/>
        <v>13581.666666666668</v>
      </c>
      <c r="K5" s="19">
        <f t="shared" si="0"/>
        <v>9736.6666666666661</v>
      </c>
      <c r="L5" s="19">
        <f t="shared" si="0"/>
        <v>11501.666666666668</v>
      </c>
      <c r="M5" s="19">
        <f t="shared" si="0"/>
        <v>13601.666666666668</v>
      </c>
    </row>
    <row r="6" spans="1:13" x14ac:dyDescent="0.25">
      <c r="A6" s="26"/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</row>
    <row r="7" spans="1:13" x14ac:dyDescent="0.25">
      <c r="A7" s="26" t="s">
        <v>33</v>
      </c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</row>
    <row r="8" spans="1:13" x14ac:dyDescent="0.25">
      <c r="A8" s="15" t="s">
        <v>32</v>
      </c>
      <c r="B8" s="19">
        <f>'Income Statement Year 3'!B10</f>
        <v>16600</v>
      </c>
      <c r="C8" s="19">
        <f>'Income Statement Year 3'!C10</f>
        <v>11900</v>
      </c>
      <c r="D8" s="19">
        <f>'Income Statement Year 3'!D10</f>
        <v>11900</v>
      </c>
      <c r="E8" s="19">
        <f>'Income Statement Year 3'!E10</f>
        <v>9400</v>
      </c>
      <c r="F8" s="19">
        <f>'Income Statement Year 3'!F10</f>
        <v>9400</v>
      </c>
      <c r="G8" s="19">
        <f>'Income Statement Year 3'!G10</f>
        <v>19900</v>
      </c>
      <c r="H8" s="19">
        <f>'Income Statement Year 3'!H10</f>
        <v>11900</v>
      </c>
      <c r="I8" s="19">
        <f>'Income Statement Year 3'!I10</f>
        <v>16600</v>
      </c>
      <c r="J8" s="19">
        <f>'Income Statement Year 3'!J10</f>
        <v>11900</v>
      </c>
      <c r="K8" s="19">
        <f>'Income Statement Year 3'!K10</f>
        <v>14100</v>
      </c>
      <c r="L8" s="19">
        <f>'Income Statement Year 3'!L10</f>
        <v>16600</v>
      </c>
      <c r="M8" s="19">
        <f>'Income Statement Year 3'!M10</f>
        <v>18800</v>
      </c>
    </row>
    <row r="9" spans="1:13" x14ac:dyDescent="0.25">
      <c r="A9" s="15" t="s">
        <v>31</v>
      </c>
      <c r="B9" s="20">
        <v>0</v>
      </c>
      <c r="C9" s="20">
        <v>0</v>
      </c>
      <c r="D9" s="20">
        <v>0</v>
      </c>
      <c r="E9" s="20">
        <v>0</v>
      </c>
      <c r="F9" s="20">
        <v>0</v>
      </c>
      <c r="G9" s="20">
        <v>0</v>
      </c>
      <c r="H9" s="20">
        <v>0</v>
      </c>
      <c r="I9" s="20">
        <v>0</v>
      </c>
      <c r="J9" s="20">
        <v>0</v>
      </c>
      <c r="K9" s="20">
        <v>0</v>
      </c>
      <c r="L9" s="20">
        <v>0</v>
      </c>
      <c r="M9" s="20">
        <v>0</v>
      </c>
    </row>
    <row r="10" spans="1:13" s="1" customFormat="1" x14ac:dyDescent="0.25">
      <c r="A10" s="29" t="s">
        <v>34</v>
      </c>
      <c r="B10" s="40">
        <f t="shared" ref="B10:M10" si="1">SUM(B8:B9)</f>
        <v>16600</v>
      </c>
      <c r="C10" s="40">
        <f t="shared" si="1"/>
        <v>11900</v>
      </c>
      <c r="D10" s="40">
        <f t="shared" si="1"/>
        <v>11900</v>
      </c>
      <c r="E10" s="40">
        <f t="shared" si="1"/>
        <v>9400</v>
      </c>
      <c r="F10" s="40">
        <f t="shared" si="1"/>
        <v>9400</v>
      </c>
      <c r="G10" s="40">
        <f t="shared" si="1"/>
        <v>19900</v>
      </c>
      <c r="H10" s="40">
        <f t="shared" si="1"/>
        <v>11900</v>
      </c>
      <c r="I10" s="40">
        <f t="shared" si="1"/>
        <v>16600</v>
      </c>
      <c r="J10" s="40">
        <f t="shared" si="1"/>
        <v>11900</v>
      </c>
      <c r="K10" s="40">
        <f t="shared" si="1"/>
        <v>14100</v>
      </c>
      <c r="L10" s="40">
        <f t="shared" si="1"/>
        <v>16600</v>
      </c>
      <c r="M10" s="40">
        <f t="shared" si="1"/>
        <v>18800</v>
      </c>
    </row>
    <row r="11" spans="1:13" x14ac:dyDescent="0.25">
      <c r="A11" s="26"/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</row>
    <row r="12" spans="1:13" s="1" customFormat="1" x14ac:dyDescent="0.25">
      <c r="A12" s="29" t="s">
        <v>41</v>
      </c>
      <c r="B12" s="40">
        <f>B5+B10</f>
        <v>26738.333333333336</v>
      </c>
      <c r="C12" s="40">
        <f t="shared" ref="C12:M12" si="2">C5+C10</f>
        <v>25541.666666666668</v>
      </c>
      <c r="D12" s="40">
        <f t="shared" si="2"/>
        <v>21601.666666666664</v>
      </c>
      <c r="E12" s="40">
        <f t="shared" si="2"/>
        <v>19141.666666666664</v>
      </c>
      <c r="F12" s="40">
        <f t="shared" si="2"/>
        <v>17041.666666666664</v>
      </c>
      <c r="G12" s="40">
        <f t="shared" si="2"/>
        <v>27541.666666666664</v>
      </c>
      <c r="H12" s="40">
        <f t="shared" si="2"/>
        <v>28181.666666666668</v>
      </c>
      <c r="I12" s="40">
        <f t="shared" si="2"/>
        <v>26346.666666666664</v>
      </c>
      <c r="J12" s="40">
        <f t="shared" si="2"/>
        <v>25481.666666666668</v>
      </c>
      <c r="K12" s="40">
        <f t="shared" si="2"/>
        <v>23836.666666666664</v>
      </c>
      <c r="L12" s="40">
        <f t="shared" si="2"/>
        <v>28101.666666666668</v>
      </c>
      <c r="M12" s="40">
        <f t="shared" si="2"/>
        <v>32401.666666666668</v>
      </c>
    </row>
    <row r="13" spans="1:13" x14ac:dyDescent="0.25">
      <c r="A13" s="15"/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</row>
    <row r="14" spans="1:13" x14ac:dyDescent="0.25">
      <c r="A14" s="36"/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</row>
    <row r="15" spans="1:13" x14ac:dyDescent="0.25">
      <c r="A15" s="26" t="s">
        <v>35</v>
      </c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</row>
    <row r="16" spans="1:13" x14ac:dyDescent="0.25">
      <c r="A16" s="15" t="s">
        <v>36</v>
      </c>
      <c r="B16" s="19">
        <f>'Income Statement Year 3'!B17</f>
        <v>2800</v>
      </c>
      <c r="C16" s="19">
        <f>'Income Statement Year 3'!C17</f>
        <v>2000</v>
      </c>
      <c r="D16" s="19">
        <f>'Income Statement Year 3'!D17</f>
        <v>2000</v>
      </c>
      <c r="E16" s="19">
        <f>'Income Statement Year 3'!E17</f>
        <v>1600</v>
      </c>
      <c r="F16" s="19">
        <f>'Income Statement Year 3'!F17</f>
        <v>1600</v>
      </c>
      <c r="G16" s="19">
        <f>'Income Statement Year 3'!G17</f>
        <v>3400</v>
      </c>
      <c r="H16" s="19">
        <f>'Income Statement Year 3'!H17</f>
        <v>2000</v>
      </c>
      <c r="I16" s="19">
        <f>'Income Statement Year 3'!I17</f>
        <v>2800</v>
      </c>
      <c r="J16" s="19">
        <f>'Income Statement Year 3'!J17</f>
        <v>2000</v>
      </c>
      <c r="K16" s="19">
        <f>'Income Statement Year 3'!K17</f>
        <v>2400</v>
      </c>
      <c r="L16" s="19">
        <f>'Income Statement Year 3'!L17</f>
        <v>2800</v>
      </c>
      <c r="M16" s="19">
        <f>'Income Statement Year 3'!M17</f>
        <v>3200</v>
      </c>
    </row>
    <row r="17" spans="1:14" x14ac:dyDescent="0.25">
      <c r="A17" s="15" t="s">
        <v>22</v>
      </c>
      <c r="B17" s="20">
        <f>'Income Statement Year 3'!B18</f>
        <v>41.666666666666664</v>
      </c>
      <c r="C17" s="20">
        <f>'Income Statement Year 3'!C18</f>
        <v>41.666666666666664</v>
      </c>
      <c r="D17" s="20">
        <f>'Income Statement Year 3'!D18</f>
        <v>41.666666666666664</v>
      </c>
      <c r="E17" s="20">
        <f>'Income Statement Year 3'!E18</f>
        <v>41.666666666666664</v>
      </c>
      <c r="F17" s="20">
        <f>'Income Statement Year 3'!F18</f>
        <v>41.666666666666664</v>
      </c>
      <c r="G17" s="20">
        <f>'Income Statement Year 3'!G18</f>
        <v>41.666666666666664</v>
      </c>
      <c r="H17" s="20">
        <f>'Income Statement Year 3'!H18</f>
        <v>41.666666666666664</v>
      </c>
      <c r="I17" s="20">
        <f>'Income Statement Year 3'!I18</f>
        <v>41.666666666666664</v>
      </c>
      <c r="J17" s="20">
        <f>'Income Statement Year 3'!J18</f>
        <v>41.666666666666664</v>
      </c>
      <c r="K17" s="20">
        <f>'Income Statement Year 3'!K18</f>
        <v>41.666666666666664</v>
      </c>
      <c r="L17" s="20">
        <f>'Income Statement Year 3'!L18</f>
        <v>41.666666666666664</v>
      </c>
      <c r="M17" s="20">
        <f>'Income Statement Year 3'!M18</f>
        <v>41.666666666666664</v>
      </c>
    </row>
    <row r="18" spans="1:14" x14ac:dyDescent="0.25">
      <c r="A18" s="15" t="s">
        <v>86</v>
      </c>
      <c r="B18" s="19">
        <f>'Income Statement Year 3'!B19</f>
        <v>66.666666666666671</v>
      </c>
      <c r="C18" s="19">
        <f>'Income Statement Year 3'!C19</f>
        <v>66.666666666666671</v>
      </c>
      <c r="D18" s="19">
        <f>'Income Statement Year 3'!D19</f>
        <v>66.666666666666671</v>
      </c>
      <c r="E18" s="19">
        <f>'Income Statement Year 3'!E19</f>
        <v>66.666666666666671</v>
      </c>
      <c r="F18" s="19">
        <f>'Income Statement Year 3'!F19</f>
        <v>66.666666666666671</v>
      </c>
      <c r="G18" s="19">
        <f>'Income Statement Year 3'!G19</f>
        <v>66.666666666666671</v>
      </c>
      <c r="H18" s="19">
        <f>'Income Statement Year 3'!H19</f>
        <v>66.666666666666671</v>
      </c>
      <c r="I18" s="19">
        <f>'Income Statement Year 3'!I19</f>
        <v>66.666666666666671</v>
      </c>
      <c r="J18" s="19">
        <f>'Income Statement Year 3'!J19</f>
        <v>66.666666666666671</v>
      </c>
      <c r="K18" s="19">
        <f>'Income Statement Year 3'!K19</f>
        <v>66.666666666666671</v>
      </c>
      <c r="L18" s="19">
        <f>'Income Statement Year 3'!L19</f>
        <v>66.666666666666671</v>
      </c>
      <c r="M18" s="19">
        <f>'Income Statement Year 3'!M19</f>
        <v>66.666666666666671</v>
      </c>
    </row>
    <row r="19" spans="1:14" x14ac:dyDescent="0.25">
      <c r="A19" s="15" t="s">
        <v>62</v>
      </c>
      <c r="B19" s="19">
        <f>'Income Statement Year 3'!B20</f>
        <v>50</v>
      </c>
      <c r="C19" s="19">
        <f>'Income Statement Year 3'!C20</f>
        <v>90</v>
      </c>
      <c r="D19" s="19">
        <f>'Income Statement Year 3'!D20</f>
        <v>50</v>
      </c>
      <c r="E19" s="19">
        <f>'Income Statement Year 3'!E20</f>
        <v>50</v>
      </c>
      <c r="F19" s="19">
        <f>'Income Statement Year 3'!F20</f>
        <v>50</v>
      </c>
      <c r="G19" s="19">
        <f>'Income Statement Year 3'!G20</f>
        <v>110</v>
      </c>
      <c r="H19" s="19">
        <f>'Income Statement Year 3'!H20</f>
        <v>45</v>
      </c>
      <c r="I19" s="19">
        <f>'Income Statement Year 3'!I20</f>
        <v>110</v>
      </c>
      <c r="J19" s="19">
        <f>'Income Statement Year 3'!J20</f>
        <v>55</v>
      </c>
      <c r="K19" s="19">
        <f>'Income Statement Year 3'!K20</f>
        <v>90</v>
      </c>
      <c r="L19" s="19">
        <f>'Income Statement Year 3'!L20</f>
        <v>90</v>
      </c>
      <c r="M19" s="19">
        <f>'Income Statement Year 3'!M20</f>
        <v>90</v>
      </c>
    </row>
    <row r="20" spans="1:14" s="1" customFormat="1" x14ac:dyDescent="0.25">
      <c r="A20" s="47" t="s">
        <v>37</v>
      </c>
      <c r="B20" s="48">
        <f>SUM(B16:B19)</f>
        <v>2958.333333333333</v>
      </c>
      <c r="C20" s="48">
        <f t="shared" ref="C20:M20" si="3">SUM(C16:C19)</f>
        <v>2198.3333333333335</v>
      </c>
      <c r="D20" s="48">
        <f t="shared" si="3"/>
        <v>2158.3333333333335</v>
      </c>
      <c r="E20" s="48">
        <f t="shared" si="3"/>
        <v>1758.3333333333335</v>
      </c>
      <c r="F20" s="48">
        <f t="shared" si="3"/>
        <v>1758.3333333333335</v>
      </c>
      <c r="G20" s="48">
        <f t="shared" si="3"/>
        <v>3618.333333333333</v>
      </c>
      <c r="H20" s="48">
        <f t="shared" si="3"/>
        <v>2153.3333333333335</v>
      </c>
      <c r="I20" s="48">
        <f t="shared" si="3"/>
        <v>3018.333333333333</v>
      </c>
      <c r="J20" s="48">
        <f t="shared" si="3"/>
        <v>2163.3333333333335</v>
      </c>
      <c r="K20" s="48">
        <f t="shared" si="3"/>
        <v>2598.333333333333</v>
      </c>
      <c r="L20" s="48">
        <f t="shared" si="3"/>
        <v>2998.333333333333</v>
      </c>
      <c r="M20" s="48">
        <f t="shared" si="3"/>
        <v>3398.333333333333</v>
      </c>
    </row>
    <row r="21" spans="1:14" x14ac:dyDescent="0.25">
      <c r="A21" s="15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</row>
    <row r="22" spans="1:14" s="1" customFormat="1" x14ac:dyDescent="0.25">
      <c r="A22" s="49" t="s">
        <v>38</v>
      </c>
      <c r="B22" s="50">
        <f t="shared" ref="B22:M22" si="4">B20</f>
        <v>2958.333333333333</v>
      </c>
      <c r="C22" s="50">
        <f t="shared" si="4"/>
        <v>2198.3333333333335</v>
      </c>
      <c r="D22" s="50">
        <f t="shared" si="4"/>
        <v>2158.3333333333335</v>
      </c>
      <c r="E22" s="50">
        <f t="shared" si="4"/>
        <v>1758.3333333333335</v>
      </c>
      <c r="F22" s="50">
        <f t="shared" si="4"/>
        <v>1758.3333333333335</v>
      </c>
      <c r="G22" s="50">
        <f t="shared" si="4"/>
        <v>3618.333333333333</v>
      </c>
      <c r="H22" s="50">
        <f t="shared" si="4"/>
        <v>2153.3333333333335</v>
      </c>
      <c r="I22" s="50">
        <f t="shared" si="4"/>
        <v>3018.333333333333</v>
      </c>
      <c r="J22" s="50">
        <f t="shared" si="4"/>
        <v>2163.3333333333335</v>
      </c>
      <c r="K22" s="50">
        <f t="shared" si="4"/>
        <v>2598.333333333333</v>
      </c>
      <c r="L22" s="50">
        <f t="shared" si="4"/>
        <v>2998.333333333333</v>
      </c>
      <c r="M22" s="50">
        <f t="shared" si="4"/>
        <v>3398.333333333333</v>
      </c>
    </row>
    <row r="23" spans="1:14" x14ac:dyDescent="0.25">
      <c r="A23" s="15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</row>
    <row r="24" spans="1:14" x14ac:dyDescent="0.25">
      <c r="A24" s="15" t="s">
        <v>39</v>
      </c>
      <c r="B24" s="20">
        <f t="shared" ref="B24:M24" si="5">B10</f>
        <v>16600</v>
      </c>
      <c r="C24" s="20">
        <f t="shared" si="5"/>
        <v>11900</v>
      </c>
      <c r="D24" s="20">
        <f t="shared" si="5"/>
        <v>11900</v>
      </c>
      <c r="E24" s="20">
        <f t="shared" si="5"/>
        <v>9400</v>
      </c>
      <c r="F24" s="20">
        <f t="shared" si="5"/>
        <v>9400</v>
      </c>
      <c r="G24" s="20">
        <f t="shared" si="5"/>
        <v>19900</v>
      </c>
      <c r="H24" s="20">
        <f t="shared" si="5"/>
        <v>11900</v>
      </c>
      <c r="I24" s="20">
        <f t="shared" si="5"/>
        <v>16600</v>
      </c>
      <c r="J24" s="20">
        <f t="shared" si="5"/>
        <v>11900</v>
      </c>
      <c r="K24" s="20">
        <f t="shared" si="5"/>
        <v>14100</v>
      </c>
      <c r="L24" s="20">
        <f t="shared" si="5"/>
        <v>16600</v>
      </c>
      <c r="M24" s="20">
        <f t="shared" si="5"/>
        <v>18800</v>
      </c>
    </row>
    <row r="25" spans="1:14" x14ac:dyDescent="0.25">
      <c r="A25" s="15" t="s">
        <v>40</v>
      </c>
      <c r="B25" s="20">
        <f>B22</f>
        <v>2958.333333333333</v>
      </c>
      <c r="C25" s="20">
        <f t="shared" ref="C25:M25" si="6">C22</f>
        <v>2198.3333333333335</v>
      </c>
      <c r="D25" s="20">
        <f t="shared" si="6"/>
        <v>2158.3333333333335</v>
      </c>
      <c r="E25" s="20">
        <f t="shared" si="6"/>
        <v>1758.3333333333335</v>
      </c>
      <c r="F25" s="20">
        <f t="shared" si="6"/>
        <v>1758.3333333333335</v>
      </c>
      <c r="G25" s="20">
        <f t="shared" si="6"/>
        <v>3618.333333333333</v>
      </c>
      <c r="H25" s="20">
        <f t="shared" si="6"/>
        <v>2153.3333333333335</v>
      </c>
      <c r="I25" s="20">
        <f t="shared" si="6"/>
        <v>3018.333333333333</v>
      </c>
      <c r="J25" s="20">
        <f t="shared" si="6"/>
        <v>2163.3333333333335</v>
      </c>
      <c r="K25" s="20">
        <f t="shared" si="6"/>
        <v>2598.333333333333</v>
      </c>
      <c r="L25" s="20">
        <f t="shared" si="6"/>
        <v>2998.333333333333</v>
      </c>
      <c r="M25" s="20">
        <f t="shared" si="6"/>
        <v>3398.333333333333</v>
      </c>
    </row>
    <row r="26" spans="1:14" x14ac:dyDescent="0.25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</row>
    <row r="27" spans="1:14" s="1" customFormat="1" x14ac:dyDescent="0.25">
      <c r="A27" s="49" t="s">
        <v>42</v>
      </c>
      <c r="B27" s="50">
        <f>B24-B25</f>
        <v>13641.666666666668</v>
      </c>
      <c r="C27" s="50">
        <f t="shared" ref="C27:M27" si="7">C24-C25</f>
        <v>9701.6666666666661</v>
      </c>
      <c r="D27" s="50">
        <f t="shared" si="7"/>
        <v>9741.6666666666661</v>
      </c>
      <c r="E27" s="50">
        <f t="shared" si="7"/>
        <v>7641.6666666666661</v>
      </c>
      <c r="F27" s="50">
        <f t="shared" si="7"/>
        <v>7641.6666666666661</v>
      </c>
      <c r="G27" s="50">
        <f t="shared" si="7"/>
        <v>16281.666666666668</v>
      </c>
      <c r="H27" s="50">
        <f t="shared" si="7"/>
        <v>9746.6666666666661</v>
      </c>
      <c r="I27" s="50">
        <f t="shared" si="7"/>
        <v>13581.666666666668</v>
      </c>
      <c r="J27" s="50">
        <f t="shared" si="7"/>
        <v>9736.6666666666661</v>
      </c>
      <c r="K27" s="50">
        <f t="shared" si="7"/>
        <v>11501.666666666668</v>
      </c>
      <c r="L27" s="50">
        <f t="shared" si="7"/>
        <v>13601.666666666668</v>
      </c>
      <c r="M27" s="50">
        <f t="shared" si="7"/>
        <v>15401.666666666668</v>
      </c>
    </row>
    <row r="28" spans="1:14" x14ac:dyDescent="0.25">
      <c r="A28" s="15" t="s">
        <v>43</v>
      </c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</row>
    <row r="29" spans="1:14" s="1" customFormat="1" x14ac:dyDescent="0.25">
      <c r="A29" s="33" t="s">
        <v>44</v>
      </c>
      <c r="B29" s="43">
        <f>B27-B28</f>
        <v>13641.666666666668</v>
      </c>
      <c r="C29" s="43">
        <f t="shared" ref="C29:M29" si="8">C27-C28</f>
        <v>9701.6666666666661</v>
      </c>
      <c r="D29" s="43">
        <f t="shared" si="8"/>
        <v>9741.6666666666661</v>
      </c>
      <c r="E29" s="43">
        <f t="shared" si="8"/>
        <v>7641.6666666666661</v>
      </c>
      <c r="F29" s="43">
        <f t="shared" si="8"/>
        <v>7641.6666666666661</v>
      </c>
      <c r="G29" s="43">
        <f t="shared" si="8"/>
        <v>16281.666666666668</v>
      </c>
      <c r="H29" s="43">
        <f t="shared" si="8"/>
        <v>9746.6666666666661</v>
      </c>
      <c r="I29" s="43">
        <f t="shared" si="8"/>
        <v>13581.666666666668</v>
      </c>
      <c r="J29" s="43">
        <f t="shared" si="8"/>
        <v>9736.6666666666661</v>
      </c>
      <c r="K29" s="43">
        <f t="shared" si="8"/>
        <v>11501.666666666668</v>
      </c>
      <c r="L29" s="43">
        <f t="shared" si="8"/>
        <v>13601.666666666668</v>
      </c>
      <c r="M29" s="43">
        <f t="shared" si="8"/>
        <v>15401.666666666668</v>
      </c>
      <c r="N29" s="4"/>
    </row>
    <row r="30" spans="1:14" x14ac:dyDescent="0.25">
      <c r="N30" s="4"/>
    </row>
    <row r="31" spans="1:14" x14ac:dyDescent="0.25">
      <c r="N31" s="5"/>
    </row>
    <row r="32" spans="1:14" x14ac:dyDescent="0.25">
      <c r="N32" s="6"/>
    </row>
    <row r="33" spans="3:14" ht="17.25" x14ac:dyDescent="0.25">
      <c r="C33" s="2"/>
      <c r="N33" s="6"/>
    </row>
    <row r="34" spans="3:14" x14ac:dyDescent="0.25">
      <c r="N34" s="7"/>
    </row>
    <row r="35" spans="3:14" x14ac:dyDescent="0.25">
      <c r="N35" s="7"/>
    </row>
    <row r="36" spans="3:14" x14ac:dyDescent="0.25">
      <c r="N36" s="6"/>
    </row>
    <row r="37" spans="3:14" x14ac:dyDescent="0.25">
      <c r="N37" s="8"/>
    </row>
    <row r="38" spans="3:14" x14ac:dyDescent="0.25">
      <c r="N38" s="4"/>
    </row>
    <row r="39" spans="3:14" x14ac:dyDescent="0.25">
      <c r="N39" s="3"/>
    </row>
    <row r="40" spans="3:14" x14ac:dyDescent="0.25">
      <c r="N40" s="3"/>
    </row>
    <row r="41" spans="3:14" x14ac:dyDescent="0.25">
      <c r="N41" s="3"/>
    </row>
  </sheetData>
  <mergeCells count="1">
    <mergeCell ref="A1:M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9479F1-354D-4447-811C-763764FC9EB1}">
  <dimension ref="A1:I18"/>
  <sheetViews>
    <sheetView topLeftCell="A21" zoomScale="85" zoomScaleNormal="85" workbookViewId="0">
      <selection activeCell="A25" sqref="A25:XFD40"/>
    </sheetView>
  </sheetViews>
  <sheetFormatPr defaultColWidth="10.625" defaultRowHeight="15.75" x14ac:dyDescent="0.25"/>
  <cols>
    <col min="1" max="2" width="25" customWidth="1"/>
    <col min="3" max="3" width="11.625" bestFit="1" customWidth="1"/>
    <col min="4" max="4" width="4.125" customWidth="1"/>
    <col min="5" max="5" width="29.875" customWidth="1"/>
    <col min="6" max="6" width="11.625" bestFit="1" customWidth="1"/>
    <col min="7" max="7" width="7.375" customWidth="1"/>
    <col min="8" max="8" width="28" customWidth="1"/>
    <col min="9" max="9" width="15" customWidth="1"/>
  </cols>
  <sheetData>
    <row r="1" spans="1:9" ht="57" x14ac:dyDescent="0.9">
      <c r="A1" s="67" t="s">
        <v>82</v>
      </c>
      <c r="B1" s="67"/>
      <c r="C1" s="67"/>
      <c r="D1" s="67"/>
      <c r="E1" s="67"/>
      <c r="F1" s="67"/>
      <c r="G1" s="67"/>
      <c r="H1" s="67"/>
      <c r="I1" s="67"/>
    </row>
    <row r="2" spans="1:9" x14ac:dyDescent="0.25">
      <c r="A2" s="15"/>
      <c r="B2" s="15"/>
      <c r="C2" s="15"/>
      <c r="D2" s="15"/>
      <c r="E2" s="15"/>
      <c r="F2" s="15"/>
      <c r="G2" s="15"/>
      <c r="H2" s="15"/>
      <c r="I2" s="15"/>
    </row>
    <row r="3" spans="1:9" s="54" customFormat="1" ht="26.25" x14ac:dyDescent="0.4">
      <c r="A3" s="69" t="s">
        <v>2</v>
      </c>
      <c r="B3" s="69"/>
      <c r="C3" s="69"/>
      <c r="D3" s="69"/>
      <c r="E3" s="69"/>
      <c r="F3" s="69"/>
      <c r="G3" s="69"/>
      <c r="H3" s="69"/>
      <c r="I3" s="69"/>
    </row>
    <row r="4" spans="1:9" x14ac:dyDescent="0.25">
      <c r="A4" s="15"/>
      <c r="B4" s="68" t="s">
        <v>87</v>
      </c>
      <c r="C4" s="68"/>
      <c r="D4" s="16"/>
      <c r="E4" s="16" t="s">
        <v>88</v>
      </c>
      <c r="F4" s="16"/>
      <c r="G4" s="16"/>
      <c r="H4" s="16" t="s">
        <v>89</v>
      </c>
      <c r="I4" s="15"/>
    </row>
    <row r="5" spans="1:9" x14ac:dyDescent="0.25">
      <c r="A5" s="17" t="s">
        <v>90</v>
      </c>
      <c r="B5" s="17"/>
      <c r="C5" s="15"/>
      <c r="D5" s="15"/>
      <c r="E5" s="15"/>
      <c r="F5" s="15"/>
      <c r="G5" s="15"/>
      <c r="H5" s="15"/>
      <c r="I5" s="15"/>
    </row>
    <row r="6" spans="1:9" x14ac:dyDescent="0.25">
      <c r="A6" s="18" t="s">
        <v>91</v>
      </c>
      <c r="B6" s="18"/>
      <c r="C6" s="19">
        <f>'Cash Flow Year 1 '!M28</f>
        <v>12523.4</v>
      </c>
      <c r="D6" s="15"/>
      <c r="E6" s="18" t="s">
        <v>98</v>
      </c>
      <c r="F6" s="20">
        <v>0</v>
      </c>
      <c r="G6" s="20"/>
      <c r="H6" s="18" t="s">
        <v>101</v>
      </c>
      <c r="I6" s="19">
        <f>'Start Up Costs '!B23</f>
        <v>7144</v>
      </c>
    </row>
    <row r="7" spans="1:9" x14ac:dyDescent="0.25">
      <c r="A7" s="18" t="s">
        <v>92</v>
      </c>
      <c r="B7" s="18"/>
      <c r="C7" s="20">
        <v>0</v>
      </c>
      <c r="D7" s="15"/>
      <c r="E7" s="18" t="s">
        <v>99</v>
      </c>
      <c r="F7" s="20">
        <v>0</v>
      </c>
      <c r="G7" s="20"/>
      <c r="H7" s="18" t="s">
        <v>43</v>
      </c>
      <c r="I7" s="19">
        <f>'Income Statement Year 1 '!N25</f>
        <v>18079.599999999999</v>
      </c>
    </row>
    <row r="8" spans="1:9" x14ac:dyDescent="0.25">
      <c r="A8" s="18" t="s">
        <v>93</v>
      </c>
      <c r="B8" s="18"/>
      <c r="C8" s="19">
        <f>'Income Statement Year 1 '!N19</f>
        <v>399.99999999999994</v>
      </c>
      <c r="D8" s="15"/>
      <c r="E8" s="18"/>
      <c r="F8" s="20"/>
      <c r="G8" s="20"/>
      <c r="H8" s="18" t="s">
        <v>102</v>
      </c>
      <c r="I8" s="20">
        <f>I6+I7-C18</f>
        <v>8566.869999999999</v>
      </c>
    </row>
    <row r="9" spans="1:9" x14ac:dyDescent="0.25">
      <c r="A9" s="17" t="s">
        <v>94</v>
      </c>
      <c r="B9" s="17"/>
      <c r="C9" s="19">
        <f>SUM(C6:C8)</f>
        <v>12923.4</v>
      </c>
      <c r="D9" s="15"/>
      <c r="E9" s="17" t="s">
        <v>100</v>
      </c>
      <c r="F9" s="21">
        <f>SUM(F6:F8)</f>
        <v>0</v>
      </c>
      <c r="G9" s="21"/>
      <c r="H9" s="17" t="s">
        <v>103</v>
      </c>
      <c r="I9" s="22">
        <f>I6+I7-I8</f>
        <v>16656.73</v>
      </c>
    </row>
    <row r="10" spans="1:9" x14ac:dyDescent="0.25">
      <c r="A10" s="17"/>
      <c r="B10" s="17"/>
      <c r="C10" s="19"/>
      <c r="D10" s="15"/>
      <c r="E10" s="17"/>
      <c r="F10" s="20"/>
      <c r="G10" s="20"/>
      <c r="H10" s="17"/>
      <c r="I10" s="22"/>
    </row>
    <row r="11" spans="1:9" x14ac:dyDescent="0.25">
      <c r="A11" s="17" t="s">
        <v>95</v>
      </c>
      <c r="B11" s="17"/>
      <c r="C11" s="15"/>
      <c r="D11" s="15"/>
      <c r="E11" s="18"/>
      <c r="F11" s="20"/>
      <c r="G11" s="20"/>
      <c r="H11" s="18"/>
      <c r="I11" s="15"/>
    </row>
    <row r="12" spans="1:9" x14ac:dyDescent="0.25">
      <c r="A12" s="18" t="s">
        <v>110</v>
      </c>
      <c r="B12" s="20">
        <v>4000</v>
      </c>
      <c r="C12" s="20"/>
      <c r="D12" s="15"/>
      <c r="E12" s="18"/>
      <c r="F12" s="20"/>
      <c r="G12" s="20"/>
      <c r="H12" s="18"/>
      <c r="I12" s="15"/>
    </row>
    <row r="13" spans="1:9" x14ac:dyDescent="0.25">
      <c r="A13" s="18" t="s">
        <v>111</v>
      </c>
      <c r="B13" s="20">
        <v>800</v>
      </c>
      <c r="C13" s="20">
        <f>B12-B13</f>
        <v>3200</v>
      </c>
      <c r="D13" s="15"/>
      <c r="E13" s="18"/>
      <c r="F13" s="20"/>
      <c r="G13" s="20"/>
      <c r="H13" s="18"/>
      <c r="I13" s="15"/>
    </row>
    <row r="14" spans="1:9" x14ac:dyDescent="0.25">
      <c r="A14" s="15" t="s">
        <v>116</v>
      </c>
      <c r="B14" s="20">
        <v>800</v>
      </c>
      <c r="C14" s="20"/>
      <c r="D14" s="15"/>
      <c r="E14" s="18"/>
      <c r="F14" s="20"/>
      <c r="G14" s="20"/>
      <c r="H14" s="18"/>
      <c r="I14" s="15"/>
    </row>
    <row r="15" spans="1:9" x14ac:dyDescent="0.25">
      <c r="A15" s="18" t="s">
        <v>111</v>
      </c>
      <c r="B15" s="20">
        <v>266.67</v>
      </c>
      <c r="C15" s="20">
        <f>B14-B15</f>
        <v>533.32999999999993</v>
      </c>
      <c r="D15" s="15"/>
      <c r="E15" s="18"/>
      <c r="F15" s="20"/>
      <c r="G15" s="20"/>
      <c r="H15" s="18"/>
      <c r="I15" s="15"/>
    </row>
    <row r="16" spans="1:9" x14ac:dyDescent="0.25">
      <c r="A16" s="17" t="s">
        <v>96</v>
      </c>
      <c r="B16" s="17"/>
      <c r="C16" s="21">
        <f>SUM(C12:C15)</f>
        <v>3733.33</v>
      </c>
      <c r="D16" s="15"/>
      <c r="E16" s="18"/>
      <c r="F16" s="20"/>
      <c r="G16" s="20"/>
      <c r="H16" s="15"/>
      <c r="I16" s="15"/>
    </row>
    <row r="17" spans="1:9" x14ac:dyDescent="0.25">
      <c r="A17" s="17"/>
      <c r="B17" s="17"/>
      <c r="C17" s="21"/>
      <c r="D17" s="15"/>
      <c r="E17" s="18"/>
      <c r="F17" s="20"/>
      <c r="G17" s="20"/>
      <c r="H17" s="15"/>
      <c r="I17" s="15"/>
    </row>
    <row r="18" spans="1:9" x14ac:dyDescent="0.25">
      <c r="A18" s="55" t="s">
        <v>97</v>
      </c>
      <c r="B18" s="55"/>
      <c r="C18" s="56">
        <f>C9+C16</f>
        <v>16656.73</v>
      </c>
      <c r="D18" s="57"/>
      <c r="E18" s="55" t="s">
        <v>104</v>
      </c>
      <c r="F18" s="58">
        <f>I9+F9</f>
        <v>16656.73</v>
      </c>
      <c r="G18" s="59"/>
      <c r="H18" s="55" t="s">
        <v>103</v>
      </c>
      <c r="I18" s="56">
        <f>I9</f>
        <v>16656.73</v>
      </c>
    </row>
  </sheetData>
  <mergeCells count="3">
    <mergeCell ref="A1:I1"/>
    <mergeCell ref="B4:C4"/>
    <mergeCell ref="A3:I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583F1E-A68B-4ABC-88C5-552583A9D624}">
  <dimension ref="A1:I18"/>
  <sheetViews>
    <sheetView topLeftCell="A24" zoomScale="85" zoomScaleNormal="85" workbookViewId="0">
      <selection activeCell="A25" sqref="A25:XFD41"/>
    </sheetView>
  </sheetViews>
  <sheetFormatPr defaultColWidth="10.625" defaultRowHeight="15.75" x14ac:dyDescent="0.25"/>
  <cols>
    <col min="1" max="2" width="25" customWidth="1"/>
    <col min="3" max="3" width="11.625" bestFit="1" customWidth="1"/>
    <col min="4" max="4" width="4.125" customWidth="1"/>
    <col min="5" max="5" width="29.875" customWidth="1"/>
    <col min="6" max="6" width="11.875" bestFit="1" customWidth="1"/>
    <col min="7" max="7" width="7.375" customWidth="1"/>
    <col min="8" max="8" width="28" customWidth="1"/>
    <col min="9" max="9" width="15" customWidth="1"/>
  </cols>
  <sheetData>
    <row r="1" spans="1:9" ht="57" x14ac:dyDescent="0.9">
      <c r="A1" s="70" t="s">
        <v>82</v>
      </c>
      <c r="B1" s="70"/>
      <c r="C1" s="70"/>
      <c r="D1" s="70"/>
      <c r="E1" s="70"/>
      <c r="F1" s="70"/>
      <c r="G1" s="70"/>
      <c r="H1" s="70"/>
      <c r="I1" s="70"/>
    </row>
    <row r="2" spans="1:9" x14ac:dyDescent="0.25">
      <c r="A2" s="15"/>
      <c r="B2" s="15"/>
      <c r="C2" s="15"/>
      <c r="D2" s="15"/>
      <c r="E2" s="15"/>
      <c r="F2" s="15"/>
      <c r="G2" s="15"/>
      <c r="H2" s="15"/>
      <c r="I2" s="15"/>
    </row>
    <row r="3" spans="1:9" s="54" customFormat="1" ht="26.25" x14ac:dyDescent="0.4">
      <c r="A3" s="69" t="s">
        <v>105</v>
      </c>
      <c r="B3" s="69"/>
      <c r="C3" s="69"/>
      <c r="D3" s="69"/>
      <c r="E3" s="69"/>
      <c r="F3" s="69"/>
      <c r="G3" s="69"/>
      <c r="H3" s="69"/>
      <c r="I3" s="69"/>
    </row>
    <row r="4" spans="1:9" x14ac:dyDescent="0.25">
      <c r="A4" s="15"/>
      <c r="B4" s="68" t="s">
        <v>87</v>
      </c>
      <c r="C4" s="68"/>
      <c r="D4" s="16"/>
      <c r="E4" s="16" t="s">
        <v>88</v>
      </c>
      <c r="F4" s="16"/>
      <c r="G4" s="16"/>
      <c r="H4" s="16" t="s">
        <v>89</v>
      </c>
      <c r="I4" s="15"/>
    </row>
    <row r="5" spans="1:9" x14ac:dyDescent="0.25">
      <c r="A5" s="17" t="s">
        <v>90</v>
      </c>
      <c r="B5" s="17"/>
      <c r="C5" s="15"/>
      <c r="D5" s="15"/>
      <c r="E5" s="15"/>
      <c r="F5" s="15"/>
      <c r="G5" s="15"/>
      <c r="H5" s="15"/>
      <c r="I5" s="15"/>
    </row>
    <row r="6" spans="1:9" x14ac:dyDescent="0.25">
      <c r="A6" s="18" t="s">
        <v>91</v>
      </c>
      <c r="B6" s="18"/>
      <c r="C6" s="19">
        <f>'Cash Flow Year 2'!M29</f>
        <v>10138.333333333334</v>
      </c>
      <c r="D6" s="15"/>
      <c r="E6" s="18" t="s">
        <v>98</v>
      </c>
      <c r="F6" s="20">
        <v>0</v>
      </c>
      <c r="G6" s="20"/>
      <c r="H6" s="18" t="s">
        <v>101</v>
      </c>
      <c r="I6" s="19">
        <f>'Start Up Costs '!B23</f>
        <v>7144</v>
      </c>
    </row>
    <row r="7" spans="1:9" x14ac:dyDescent="0.25">
      <c r="A7" s="18" t="s">
        <v>92</v>
      </c>
      <c r="B7" s="18"/>
      <c r="C7" s="20">
        <v>0</v>
      </c>
      <c r="D7" s="15"/>
      <c r="E7" s="18" t="s">
        <v>99</v>
      </c>
      <c r="F7" s="20">
        <v>0</v>
      </c>
      <c r="G7" s="20"/>
      <c r="H7" s="18" t="s">
        <v>43</v>
      </c>
      <c r="I7" s="19">
        <f>'Income Statement Year 2'!N25</f>
        <v>28393.200000000001</v>
      </c>
    </row>
    <row r="8" spans="1:9" x14ac:dyDescent="0.25">
      <c r="A8" s="18" t="s">
        <v>93</v>
      </c>
      <c r="B8" s="18"/>
      <c r="C8" s="19">
        <f>'Income Statement Year 2'!N19</f>
        <v>420</v>
      </c>
      <c r="D8" s="15"/>
      <c r="E8" s="18"/>
      <c r="F8" s="20"/>
      <c r="G8" s="20"/>
      <c r="H8" s="18" t="s">
        <v>102</v>
      </c>
      <c r="I8" s="20">
        <f>I6+I7-C18</f>
        <v>22312.206666666665</v>
      </c>
    </row>
    <row r="9" spans="1:9" x14ac:dyDescent="0.25">
      <c r="A9" s="17" t="s">
        <v>94</v>
      </c>
      <c r="B9" s="17"/>
      <c r="C9" s="22">
        <f>SUM(C6:C8)</f>
        <v>10558.333333333334</v>
      </c>
      <c r="D9" s="15"/>
      <c r="E9" s="17" t="s">
        <v>100</v>
      </c>
      <c r="F9" s="20">
        <f>SUM(F6:F8)</f>
        <v>0</v>
      </c>
      <c r="G9" s="20"/>
      <c r="H9" s="17" t="s">
        <v>103</v>
      </c>
      <c r="I9" s="22">
        <f>I6+I7-I8</f>
        <v>13224.993333333332</v>
      </c>
    </row>
    <row r="10" spans="1:9" x14ac:dyDescent="0.25">
      <c r="A10" s="17"/>
      <c r="B10" s="17"/>
      <c r="C10" s="22"/>
      <c r="D10" s="15"/>
      <c r="E10" s="17"/>
      <c r="F10" s="20"/>
      <c r="G10" s="20"/>
      <c r="H10" s="17"/>
      <c r="I10" s="22"/>
    </row>
    <row r="11" spans="1:9" x14ac:dyDescent="0.25">
      <c r="A11" s="17" t="s">
        <v>95</v>
      </c>
      <c r="B11" s="17"/>
      <c r="C11" s="15"/>
      <c r="D11" s="15"/>
      <c r="E11" s="18"/>
      <c r="F11" s="20">
        <f>SUM(F7:F9)</f>
        <v>0</v>
      </c>
      <c r="G11" s="20"/>
      <c r="H11" s="18"/>
      <c r="I11" s="15"/>
    </row>
    <row r="12" spans="1:9" x14ac:dyDescent="0.25">
      <c r="A12" s="18" t="s">
        <v>110</v>
      </c>
      <c r="B12" s="20">
        <f>'Balance Sheet Year 1 '!C13</f>
        <v>3200</v>
      </c>
      <c r="C12" s="20"/>
      <c r="D12" s="15"/>
      <c r="E12" s="18"/>
      <c r="F12" s="20">
        <f>SUM(F8:F11)</f>
        <v>0</v>
      </c>
      <c r="G12" s="20"/>
      <c r="H12" s="18"/>
      <c r="I12" s="15"/>
    </row>
    <row r="13" spans="1:9" x14ac:dyDescent="0.25">
      <c r="A13" s="18" t="s">
        <v>111</v>
      </c>
      <c r="B13" s="20">
        <v>800</v>
      </c>
      <c r="C13" s="20">
        <f>B12-B13</f>
        <v>2400</v>
      </c>
      <c r="D13" s="15"/>
      <c r="E13" s="18"/>
      <c r="F13" s="20"/>
      <c r="G13" s="20"/>
      <c r="H13" s="18"/>
      <c r="I13" s="15"/>
    </row>
    <row r="14" spans="1:9" x14ac:dyDescent="0.25">
      <c r="A14" s="15" t="s">
        <v>116</v>
      </c>
      <c r="B14" s="20">
        <f>'Balance Sheet Year 1 '!C15</f>
        <v>533.32999999999993</v>
      </c>
      <c r="C14" s="20"/>
      <c r="D14" s="15"/>
      <c r="E14" s="18"/>
      <c r="F14" s="20">
        <f>SUM(F9:F12)</f>
        <v>0</v>
      </c>
      <c r="G14" s="20"/>
      <c r="H14" s="18"/>
      <c r="I14" s="15"/>
    </row>
    <row r="15" spans="1:9" x14ac:dyDescent="0.25">
      <c r="A15" s="18" t="s">
        <v>111</v>
      </c>
      <c r="B15" s="20">
        <v>266.67</v>
      </c>
      <c r="C15" s="20">
        <f>B14-B15</f>
        <v>266.65999999999991</v>
      </c>
      <c r="D15" s="15"/>
      <c r="E15" s="18"/>
      <c r="F15" s="20"/>
      <c r="G15" s="20"/>
      <c r="H15" s="18"/>
      <c r="I15" s="15"/>
    </row>
    <row r="16" spans="1:9" x14ac:dyDescent="0.25">
      <c r="A16" s="17" t="s">
        <v>96</v>
      </c>
      <c r="B16" s="17"/>
      <c r="C16" s="21">
        <f>SUM(C12:C15)</f>
        <v>2666.66</v>
      </c>
      <c r="D16" s="15"/>
      <c r="E16" s="18"/>
      <c r="F16" s="20">
        <f t="shared" ref="F16" si="0">SUM(F11:F14)</f>
        <v>0</v>
      </c>
      <c r="G16" s="20"/>
      <c r="H16" s="15"/>
      <c r="I16" s="15"/>
    </row>
    <row r="17" spans="1:9" x14ac:dyDescent="0.25">
      <c r="A17" s="17"/>
      <c r="B17" s="17"/>
      <c r="C17" s="21"/>
      <c r="D17" s="15"/>
      <c r="E17" s="18"/>
      <c r="F17" s="20"/>
      <c r="G17" s="20"/>
      <c r="H17" s="15"/>
      <c r="I17" s="15"/>
    </row>
    <row r="18" spans="1:9" x14ac:dyDescent="0.25">
      <c r="A18" s="55" t="s">
        <v>97</v>
      </c>
      <c r="B18" s="55"/>
      <c r="C18" s="56">
        <f>C9+C16</f>
        <v>13224.993333333334</v>
      </c>
      <c r="D18" s="57"/>
      <c r="E18" s="55" t="s">
        <v>104</v>
      </c>
      <c r="F18" s="58">
        <f>F9+I9</f>
        <v>13224.993333333332</v>
      </c>
      <c r="G18" s="59"/>
      <c r="H18" s="55" t="s">
        <v>103</v>
      </c>
      <c r="I18" s="56">
        <f>I9</f>
        <v>13224.993333333332</v>
      </c>
    </row>
  </sheetData>
  <mergeCells count="3">
    <mergeCell ref="A1:I1"/>
    <mergeCell ref="B4:C4"/>
    <mergeCell ref="A3:I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Start Up Costs </vt:lpstr>
      <vt:lpstr>Income Statement Year 1 </vt:lpstr>
      <vt:lpstr>Income Statement Year 2</vt:lpstr>
      <vt:lpstr>Income Statement Year 3</vt:lpstr>
      <vt:lpstr>Cash Flow Year 1 </vt:lpstr>
      <vt:lpstr>Cash Flow Year 2</vt:lpstr>
      <vt:lpstr>Cash Flow Year 3</vt:lpstr>
      <vt:lpstr>Balance Sheet Year 1 </vt:lpstr>
      <vt:lpstr>Balance Sheet Year 2</vt:lpstr>
      <vt:lpstr>Balance Sheet Year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Queenlie Quellope</cp:lastModifiedBy>
  <dcterms:created xsi:type="dcterms:W3CDTF">2022-03-19T15:50:25Z</dcterms:created>
  <dcterms:modified xsi:type="dcterms:W3CDTF">2025-04-09T03:31:11Z</dcterms:modified>
</cp:coreProperties>
</file>